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01" activeTab="0"/>
  </bookViews>
  <sheets>
    <sheet name="Luccini 2010" sheetId="1" r:id="rId1"/>
  </sheets>
  <definedNames>
    <definedName name="_xlnm.Print_Area" localSheetId="0">'Luccini 2010'!$B$2:$AE$41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4" authorId="0">
      <text>
        <r>
          <rPr>
            <b/>
            <sz val="8"/>
            <color indexed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color indexed="8"/>
            <rFont val="Tahoma"/>
            <family val="2"/>
          </rPr>
          <t>Inserisci il Numero di
NIGGLING subiti</t>
        </r>
      </text>
    </comment>
    <comment ref="Q4" authorId="0">
      <text>
        <r>
          <rPr>
            <b/>
            <sz val="8"/>
            <color indexed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</commentList>
</comments>
</file>

<file path=xl/sharedStrings.xml><?xml version="1.0" encoding="utf-8"?>
<sst xmlns="http://schemas.openxmlformats.org/spreadsheetml/2006/main" count="1732" uniqueCount="763">
  <si>
    <t>No.</t>
  </si>
  <si>
    <t>Players Name</t>
  </si>
  <si>
    <t>Position</t>
  </si>
  <si>
    <t>MA</t>
  </si>
  <si>
    <t>ST</t>
  </si>
  <si>
    <t>AG</t>
  </si>
  <si>
    <t>VA</t>
  </si>
  <si>
    <t>Standard Skills</t>
  </si>
  <si>
    <t>Upgrades</t>
  </si>
  <si>
    <t>M</t>
  </si>
  <si>
    <t>N</t>
  </si>
  <si>
    <t>Sk</t>
  </si>
  <si>
    <t>D</t>
  </si>
  <si>
    <t>Inc.</t>
  </si>
  <si>
    <t>$</t>
  </si>
  <si>
    <t>Int</t>
  </si>
  <si>
    <t>Comp</t>
  </si>
  <si>
    <t>TD</t>
  </si>
  <si>
    <t>Cas</t>
  </si>
  <si>
    <t>MVP</t>
  </si>
  <si>
    <t>SPP</t>
  </si>
  <si>
    <t>Infortunati</t>
  </si>
  <si>
    <t>Valutazione</t>
  </si>
  <si>
    <t>AV</t>
  </si>
  <si>
    <t>Linewoman Amazon</t>
  </si>
  <si>
    <t>Dodge</t>
  </si>
  <si>
    <t>G</t>
  </si>
  <si>
    <t>ASP</t>
  </si>
  <si>
    <t>Amazon</t>
  </si>
  <si>
    <t>Chaos</t>
  </si>
  <si>
    <t>Chaos Dwarf</t>
  </si>
  <si>
    <t>Chaos Pact</t>
  </si>
  <si>
    <t>Dark Elf</t>
  </si>
  <si>
    <t>Dwarf</t>
  </si>
  <si>
    <t>Elf</t>
  </si>
  <si>
    <t>Goblin</t>
  </si>
  <si>
    <t>Halfling</t>
  </si>
  <si>
    <t>High 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</si>
  <si>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</si>
  <si>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</si>
  <si>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</si>
  <si>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</si>
  <si>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</si>
  <si>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</si>
  <si>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</si>
  <si>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</si>
  <si>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</si>
  <si>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Slann</t>
  </si>
  <si>
    <t>Undead</t>
  </si>
  <si>
    <t>Underworld</t>
  </si>
  <si>
    <t>Vampire</t>
  </si>
  <si>
    <t>Wood Elf</t>
  </si>
  <si>
    <t>Linewoman Amazon Mercenary</t>
  </si>
  <si>
    <t>Loner, Dodge</t>
  </si>
  <si>
    <t>Paul Kellinghton</t>
  </si>
  <si>
    <t>Thrower Amazon</t>
  </si>
  <si>
    <t>Dodge, Pass</t>
  </si>
  <si>
    <t>GP</t>
  </si>
  <si>
    <t>AS</t>
  </si>
  <si>
    <t>Beastman</t>
  </si>
  <si>
    <t>Hobgoblin</t>
  </si>
  <si>
    <t>Marauders</t>
  </si>
  <si>
    <t>Lineman Dark Elf</t>
  </si>
  <si>
    <t>Blocker</t>
  </si>
  <si>
    <t>Lineman Elf</t>
  </si>
  <si>
    <t>Lineman High Elf</t>
  </si>
  <si>
    <t>Lineman Human</t>
  </si>
  <si>
    <t>Skeleton°</t>
  </si>
  <si>
    <t>Skink</t>
  </si>
  <si>
    <t>Zombie°</t>
  </si>
  <si>
    <t>Lineman Norse</t>
  </si>
  <si>
    <t>Rotter</t>
  </si>
  <si>
    <t>Snotling</t>
  </si>
  <si>
    <t>Lineman Orc</t>
  </si>
  <si>
    <t>Lineman Skaven</t>
  </si>
  <si>
    <t>Lineman Slann</t>
  </si>
  <si>
    <t>Skeleton</t>
  </si>
  <si>
    <t>Underworld Goblin</t>
  </si>
  <si>
    <t>Thrall</t>
  </si>
  <si>
    <t>Lineman Wood Elf</t>
  </si>
  <si>
    <t>Thrower Amazon Mercenary</t>
  </si>
  <si>
    <t>Loner, Dodge, Pass</t>
  </si>
  <si>
    <t>Beastman Mercenary</t>
  </si>
  <si>
    <t>Hobgoblin Mercenary</t>
  </si>
  <si>
    <t>Marauders Mercenary</t>
  </si>
  <si>
    <t>Lineman Dark Elf Mercenary</t>
  </si>
  <si>
    <t>Blocker Mercenary</t>
  </si>
  <si>
    <t>Lineman Elf Mercenary</t>
  </si>
  <si>
    <t>Goblin Mercenary</t>
  </si>
  <si>
    <t>Halfling Mercenary</t>
  </si>
  <si>
    <t>Lineman High Elf Mercenary</t>
  </si>
  <si>
    <t>Lineman Human Mercenary</t>
  </si>
  <si>
    <t>Skeleton° Mercenary</t>
  </si>
  <si>
    <t>Skink Mercenary</t>
  </si>
  <si>
    <t>Zombie° Mercenary</t>
  </si>
  <si>
    <t>Lineman Norse Mercenary</t>
  </si>
  <si>
    <t>Rotter Mercenary</t>
  </si>
  <si>
    <t>Snotling Mercenary</t>
  </si>
  <si>
    <t>Lineman Orc Mercenary</t>
  </si>
  <si>
    <t>Lineman Skaven Mercenary</t>
  </si>
  <si>
    <t>Lineman Slann Mercenary</t>
  </si>
  <si>
    <t>Skeleton Mercenary</t>
  </si>
  <si>
    <t>Underworld Goblin Mercenary</t>
  </si>
  <si>
    <t>Thrall Mercenary</t>
  </si>
  <si>
    <t>Lineman Wood Elf Mercenary</t>
  </si>
  <si>
    <t>Richie McNalgthy</t>
  </si>
  <si>
    <t>Catcher Amazon</t>
  </si>
  <si>
    <t>Dodge, Catch</t>
  </si>
  <si>
    <t>GA</t>
  </si>
  <si>
    <t>SP</t>
  </si>
  <si>
    <t>Chaos Warrior</t>
  </si>
  <si>
    <t>Chaos Dwarf Blocker</t>
  </si>
  <si>
    <t>Goblin Renegade</t>
  </si>
  <si>
    <t>Runner Dark Elf</t>
  </si>
  <si>
    <t>Runner Dwarf</t>
  </si>
  <si>
    <t>Thrower Elf</t>
  </si>
  <si>
    <t>Bombardier</t>
  </si>
  <si>
    <t>Treeman</t>
  </si>
  <si>
    <t>Thrower High Elf</t>
  </si>
  <si>
    <t>Catcher Human</t>
  </si>
  <si>
    <t>Thro-Ra</t>
  </si>
  <si>
    <t>Saurus</t>
  </si>
  <si>
    <t>Ghoul°</t>
  </si>
  <si>
    <t>Thrower Norse</t>
  </si>
  <si>
    <t>Pestigor</t>
  </si>
  <si>
    <t>Ogre°</t>
  </si>
  <si>
    <t>Goblin°</t>
  </si>
  <si>
    <t>Thrower Skaven</t>
  </si>
  <si>
    <t>Catcher Slann</t>
  </si>
  <si>
    <t>Zombie</t>
  </si>
  <si>
    <t>Underworld Skaven Lineman</t>
  </si>
  <si>
    <t>Catcher Wood Elf</t>
  </si>
  <si>
    <t>Catcher Amazon Mercenary</t>
  </si>
  <si>
    <t>Loner, Dodge, Catch</t>
  </si>
  <si>
    <t>Chaos Warrior Mercenary</t>
  </si>
  <si>
    <t>Chaos Dwarf Blocker Mercenary</t>
  </si>
  <si>
    <t>Goblin Renegade Mercenary</t>
  </si>
  <si>
    <t>Runner Dark Elf Mercenary</t>
  </si>
  <si>
    <t>Runner Dwarf Mercenary</t>
  </si>
  <si>
    <t>Thrower Elf Mercenary</t>
  </si>
  <si>
    <t>Bombardier Mercenary</t>
  </si>
  <si>
    <t>Treeman Mercenary</t>
  </si>
  <si>
    <t>Thrower High Elf Mercenary</t>
  </si>
  <si>
    <t>Catcher Human Mercenary</t>
  </si>
  <si>
    <t>Thro-Ra Mercenary</t>
  </si>
  <si>
    <t>Saurus Mercenary</t>
  </si>
  <si>
    <t>Ghoul° Mercenary</t>
  </si>
  <si>
    <t>Thrower Norse Mercenary</t>
  </si>
  <si>
    <t>Pestigor Mercenary</t>
  </si>
  <si>
    <t>Ogre° Mercenary</t>
  </si>
  <si>
    <t>Goblin° Mercenary</t>
  </si>
  <si>
    <t>Thrower Skaven Mercenary</t>
  </si>
  <si>
    <t>Catcher Slann Mercenary</t>
  </si>
  <si>
    <t>Zombie Mercenary</t>
  </si>
  <si>
    <t>Underworld Skaven Lineman Mercenary</t>
  </si>
  <si>
    <t>Vampire Mercenary</t>
  </si>
  <si>
    <t>Catcher Wood Elf Mercenary</t>
  </si>
  <si>
    <t>Johnny Sketchman</t>
  </si>
  <si>
    <t>Blitzer Amazon</t>
  </si>
  <si>
    <t>Dodge, Block</t>
  </si>
  <si>
    <t>GS</t>
  </si>
  <si>
    <t>AP</t>
  </si>
  <si>
    <t>Minotaur</t>
  </si>
  <si>
    <t>Bull Centaur</t>
  </si>
  <si>
    <t>Skaven Renegade</t>
  </si>
  <si>
    <t>Assassin</t>
  </si>
  <si>
    <t>Blitzer Dwarf</t>
  </si>
  <si>
    <t>Catcher Elf</t>
  </si>
  <si>
    <t>Looney</t>
  </si>
  <si>
    <t>*Bertha Bigfist</t>
  </si>
  <si>
    <t>Catcher High Elf</t>
  </si>
  <si>
    <t>Thrower Human</t>
  </si>
  <si>
    <t>Blitz-Ra</t>
  </si>
  <si>
    <t>Kroxigor</t>
  </si>
  <si>
    <t>Wight°</t>
  </si>
  <si>
    <t>Catcher Norse</t>
  </si>
  <si>
    <t>Nurgle Warrior</t>
  </si>
  <si>
    <t>Thrower Orc</t>
  </si>
  <si>
    <t>Gutter Runner</t>
  </si>
  <si>
    <t>Blitzer Slann</t>
  </si>
  <si>
    <t>Ghoul</t>
  </si>
  <si>
    <t>Underworld Skaven Thrower</t>
  </si>
  <si>
    <t>*Count Luthor Von Drakenborg</t>
  </si>
  <si>
    <t>Thrower Wood Elf</t>
  </si>
  <si>
    <t>Blitzer Amazon Mercenary</t>
  </si>
  <si>
    <t>Loner, Dodge, Block</t>
  </si>
  <si>
    <t>Minotaur Mercenary</t>
  </si>
  <si>
    <t>Bull Centaur Mercenary</t>
  </si>
  <si>
    <t>Skaven Renegade Mercenary</t>
  </si>
  <si>
    <t>Assassin Mercenary</t>
  </si>
  <si>
    <t>Blitzer Dwarf Mercenary</t>
  </si>
  <si>
    <t>Catcher Elf Mercenary</t>
  </si>
  <si>
    <t>Looney Mercenary</t>
  </si>
  <si>
    <t>Catcher High Elf Mercenary</t>
  </si>
  <si>
    <t>Thrower Human Mercenary</t>
  </si>
  <si>
    <t>Blitz-Ra Mercenary</t>
  </si>
  <si>
    <t>Kroxigor Mercenary</t>
  </si>
  <si>
    <t>Wight° Mercenary</t>
  </si>
  <si>
    <t>Catcher Norse Mercenary</t>
  </si>
  <si>
    <t>Nurgle Warrior Mercenary</t>
  </si>
  <si>
    <t>Thrower Orc Mercenary</t>
  </si>
  <si>
    <t>Gutter Runner Mercenary</t>
  </si>
  <si>
    <t>Blitzer Slann Mercenary</t>
  </si>
  <si>
    <t>Ghoul Mercenary</t>
  </si>
  <si>
    <t>Underworld Skaven Thrower Mercenary</t>
  </si>
  <si>
    <t>Thrower Wood Elf Mercenary</t>
  </si>
  <si>
    <t>Brett "Superman" Hilton</t>
  </si>
  <si>
    <t>Horns</t>
  </si>
  <si>
    <t>GSM</t>
  </si>
  <si>
    <t>*Brick Far’th **</t>
  </si>
  <si>
    <t>Minotaur°</t>
  </si>
  <si>
    <t>Dark Elf Renegade</t>
  </si>
  <si>
    <t>Blitzer Dark Elf</t>
  </si>
  <si>
    <t>Troll Slayer</t>
  </si>
  <si>
    <t>Blitzer Elf</t>
  </si>
  <si>
    <t>Fanatic</t>
  </si>
  <si>
    <t>*Deeproot Strongbranch</t>
  </si>
  <si>
    <t>Blitzer High Elf</t>
  </si>
  <si>
    <t>Blitzer Human</t>
  </si>
  <si>
    <t>Tomb Guardian</t>
  </si>
  <si>
    <t>*Helmut Wulf</t>
  </si>
  <si>
    <t>Flesh Golem</t>
  </si>
  <si>
    <t>Blitzer Norse</t>
  </si>
  <si>
    <t>Beast of Nurgle</t>
  </si>
  <si>
    <t>Black Orc Blocker</t>
  </si>
  <si>
    <t>Blitzer Skaven</t>
  </si>
  <si>
    <t>Kroxigor°</t>
  </si>
  <si>
    <t>Wight</t>
  </si>
  <si>
    <t>Underworld Skaven Blitzer</t>
  </si>
  <si>
    <t>*Crazy Igor</t>
  </si>
  <si>
    <t>Wardancer</t>
  </si>
  <si>
    <t>Loner, Horns</t>
  </si>
  <si>
    <t>Minotaur° Mercenary</t>
  </si>
  <si>
    <t>Dark Elf Renegade Mercenary</t>
  </si>
  <si>
    <t>Blitzer Dark Elf Mercenary</t>
  </si>
  <si>
    <t>Troll Slayer Mercenary</t>
  </si>
  <si>
    <t>Blitzer Elf Mercenary</t>
  </si>
  <si>
    <t>Fanatic Mercenary</t>
  </si>
  <si>
    <t>Blitzer High Elf Mercenary</t>
  </si>
  <si>
    <t>Blitzer Human Mercenary</t>
  </si>
  <si>
    <t>Tomb Guardian Mercenary</t>
  </si>
  <si>
    <t>Flesh Golem Mercenary</t>
  </si>
  <si>
    <t>Blitzer Norse Mercenary</t>
  </si>
  <si>
    <t>Beast of Nurgle Mercenary</t>
  </si>
  <si>
    <t>Black Orc Blocker Mercenary</t>
  </si>
  <si>
    <t>Blitzer Skaven Mercenary</t>
  </si>
  <si>
    <t>Kroxigor° Mercenary</t>
  </si>
  <si>
    <t>Wight Mercenary</t>
  </si>
  <si>
    <t>Underworld Skaven Blitzer Mercenary</t>
  </si>
  <si>
    <t>Wardancer Mercenary</t>
  </si>
  <si>
    <t>Tony Spencer</t>
  </si>
  <si>
    <t>*Grotty **</t>
  </si>
  <si>
    <t>*Grashnak Blackhoof</t>
  </si>
  <si>
    <t>Chaos Troll</t>
  </si>
  <si>
    <t>Witch Elf</t>
  </si>
  <si>
    <t>Deathroller</t>
  </si>
  <si>
    <t>*Dolfar Longstride</t>
  </si>
  <si>
    <t>Pogoer</t>
  </si>
  <si>
    <t>*Morg ’n’ Thorg</t>
  </si>
  <si>
    <t>*Hack Enslash</t>
  </si>
  <si>
    <t>*Hemlock</t>
  </si>
  <si>
    <t>Werewolf</t>
  </si>
  <si>
    <t>Werewolf Norse</t>
  </si>
  <si>
    <t>Blitzer Orc</t>
  </si>
  <si>
    <t>Rat Ogre</t>
  </si>
  <si>
    <t>Mummy</t>
  </si>
  <si>
    <t>Warpstone Troll</t>
  </si>
  <si>
    <t>Treeman°</t>
  </si>
  <si>
    <t>Loner</t>
  </si>
  <si>
    <t>Chaos Troll Mercenary</t>
  </si>
  <si>
    <t>Witch Elf Mercenary</t>
  </si>
  <si>
    <t>Deathroller Mercenary</t>
  </si>
  <si>
    <t>Pogoer Mercenary</t>
  </si>
  <si>
    <t>Ogre Mercenary</t>
  </si>
  <si>
    <t>Werewolf Mercenary</t>
  </si>
  <si>
    <t>Werewolf Norse Mercenary</t>
  </si>
  <si>
    <t>Blitzer Orc Mercenary</t>
  </si>
  <si>
    <t>Rat Ogre Mercenary</t>
  </si>
  <si>
    <t>Mummy Mercenary</t>
  </si>
  <si>
    <t>Warpstone Troll Mercenary</t>
  </si>
  <si>
    <t>Treeman° Mercenary</t>
  </si>
  <si>
    <t>Kenny Strong</t>
  </si>
  <si>
    <t>Block, Tackle</t>
  </si>
  <si>
    <t>Loner, Frenzy, Horns, Mighty Blow, Thick Skull, Wild Animal</t>
  </si>
  <si>
    <t>SM</t>
  </si>
  <si>
    <t>GAP</t>
  </si>
  <si>
    <t>*Hthark the Unstoppable</t>
  </si>
  <si>
    <t>Chaos Ogre</t>
  </si>
  <si>
    <t>*Eldril Sidewinder</t>
  </si>
  <si>
    <t>*Barik Farblast</t>
  </si>
  <si>
    <t>Troll</t>
  </si>
  <si>
    <t>*Puggy Baconbreath</t>
  </si>
  <si>
    <t>*Griff Oberwald</t>
  </si>
  <si>
    <t>*Humerus Carpal</t>
  </si>
  <si>
    <t>*Lottabottol</t>
  </si>
  <si>
    <t>Yhetee</t>
  </si>
  <si>
    <t>*Bomber Dribblesnot</t>
  </si>
  <si>
    <t>Troll°</t>
  </si>
  <si>
    <t>*Fezglitch</t>
  </si>
  <si>
    <t>*J Earlice</t>
  </si>
  <si>
    <t>Chaos Ogre Mercenary</t>
  </si>
  <si>
    <t>Troll Mercenary</t>
  </si>
  <si>
    <t>Yhetee Mercenary</t>
  </si>
  <si>
    <t>Troll° Mercenary</t>
  </si>
  <si>
    <t>Jimmi Knockfeller</t>
  </si>
  <si>
    <t>*Lewdgrip Whiparm</t>
  </si>
  <si>
    <t>Minotaur°°</t>
  </si>
  <si>
    <t>*Horkon Heartripper</t>
  </si>
  <si>
    <t>*Boomer Eziasson</t>
  </si>
  <si>
    <t>*Hubris Rakhart</t>
  </si>
  <si>
    <t>*Willow Rosebark</t>
  </si>
  <si>
    <t>*Ithaca Benoin</t>
  </si>
  <si>
    <t>*Glart Smashrip Jr.</t>
  </si>
  <si>
    <t>Minotaur°° Mercenary</t>
  </si>
  <si>
    <t>Troy Jones</t>
  </si>
  <si>
    <t>Block, Tackle, Thick Skull</t>
  </si>
  <si>
    <t>APM</t>
  </si>
  <si>
    <t>*Roxanna Darknail</t>
  </si>
  <si>
    <t>*Lord Borak the Despoiler</t>
  </si>
  <si>
    <t>*Nobbla Blackwart</t>
  </si>
  <si>
    <t>*Flint Churnblade</t>
  </si>
  <si>
    <t>*Jordell Freshbreeze</t>
  </si>
  <si>
    <t>*Fungus the Loon</t>
  </si>
  <si>
    <t>*Zara the Slayer</t>
  </si>
  <si>
    <t>*Prince Moranion</t>
  </si>
  <si>
    <t>*Mighty Zug</t>
  </si>
  <si>
    <t>*Ramtut III</t>
  </si>
  <si>
    <t>*Quetzal Leap</t>
  </si>
  <si>
    <t>*Hakflem Skuttlespike</t>
  </si>
  <si>
    <t>*Wilhelm Chaney</t>
  </si>
  <si>
    <t>Loner, Block, Tackle, Thick Skull</t>
  </si>
  <si>
    <t>Bubba "The beast" Smith</t>
  </si>
  <si>
    <t>Guard</t>
  </si>
  <si>
    <t>Sprint, Sure Feet, Thick Skull</t>
  </si>
  <si>
    <t>*Max Spleenripper</t>
  </si>
  <si>
    <t>*Rashnak Backstabber</t>
  </si>
  <si>
    <t>*Grim Ironjaw</t>
  </si>
  <si>
    <t>Halfling Journeyman</t>
  </si>
  <si>
    <t>*Soaren Hightower</t>
  </si>
  <si>
    <t>*Setekh</t>
  </si>
  <si>
    <t>*Slibli</t>
  </si>
  <si>
    <t>*Icepelt Hammerblow</t>
  </si>
  <si>
    <t>*Scrappa Sorehead</t>
  </si>
  <si>
    <t>*Ripper</t>
  </si>
  <si>
    <t>*Headsplitter</t>
  </si>
  <si>
    <t>Thrall Journeyman</t>
  </si>
  <si>
    <t>Loner, Sprint, Sure Feet, Thick Skull</t>
  </si>
  <si>
    <t>Roy "Supernova" Esposito</t>
  </si>
  <si>
    <t>Block</t>
  </si>
  <si>
    <t>S</t>
  </si>
  <si>
    <t>GAPM</t>
  </si>
  <si>
    <t>*Zzharg Madeye</t>
  </si>
  <si>
    <t>**Cumino</t>
  </si>
  <si>
    <t>*Sinnedbad</t>
  </si>
  <si>
    <t>Skink Journeyman</t>
  </si>
  <si>
    <t>Snotling Journeyman</t>
  </si>
  <si>
    <t>**Gollum</t>
  </si>
  <si>
    <t>Aba Palomu</t>
  </si>
  <si>
    <t>GSPM</t>
  </si>
  <si>
    <t>A</t>
  </si>
  <si>
    <t>Linewoman Amazon Journeywoman</t>
  </si>
  <si>
    <t>Beastman Journeyman</t>
  </si>
  <si>
    <t>Hobgoblin Journeyman</t>
  </si>
  <si>
    <t>Lineman Elf Journeyman</t>
  </si>
  <si>
    <t>Lineman High Elf Journeyman</t>
  </si>
  <si>
    <t>Skeleton Journeyman°</t>
  </si>
  <si>
    <t>**Marcelo Alejandro Otero</t>
  </si>
  <si>
    <t>**Alvin</t>
  </si>
  <si>
    <t>*Ugroth Bolgrot</t>
  </si>
  <si>
    <t>*Skitter Stab-Stab</t>
  </si>
  <si>
    <t>Lineman Slann Journeyman</t>
  </si>
  <si>
    <t>**Pedro Medina "The Chair"</t>
  </si>
  <si>
    <t>Jeff "The Jet" Carter</t>
  </si>
  <si>
    <t>Animosity, Dodge, Right Stuff, Stunty</t>
  </si>
  <si>
    <t>AM</t>
  </si>
  <si>
    <t>GSP</t>
  </si>
  <si>
    <t>**Jean Castaneda</t>
  </si>
  <si>
    <t>**Wolf</t>
  </si>
  <si>
    <t>**En-zuma</t>
  </si>
  <si>
    <t>Lineman Dark Elf Journeyman</t>
  </si>
  <si>
    <t>Blocker Journeyman</t>
  </si>
  <si>
    <t xml:space="preserve">**Alahel  "oak" Qwellinir </t>
  </si>
  <si>
    <t>Lineman Human Journeyman</t>
  </si>
  <si>
    <t>Zombie Journeyman°</t>
  </si>
  <si>
    <t>Rotter Journeyman</t>
  </si>
  <si>
    <t>*Varag Ghoul-Chewer</t>
  </si>
  <si>
    <t>Lineman Skaven Journeyman</t>
  </si>
  <si>
    <t>Skeleton Journeyman</t>
  </si>
  <si>
    <t>Underworld Goblin Journeyman</t>
  </si>
  <si>
    <t>Lineman Wood Elf Journeyman</t>
  </si>
  <si>
    <t>Loner, Animosity, Dodge, Right Stuff, Stunty</t>
  </si>
  <si>
    <t>Animosity</t>
  </si>
  <si>
    <t>GM</t>
  </si>
  <si>
    <t>**Joe Kane</t>
  </si>
  <si>
    <t xml:space="preserve">**Raidel Taiyo </t>
  </si>
  <si>
    <t>**Hwol Ammazza Draghi</t>
  </si>
  <si>
    <t>**Allanon</t>
  </si>
  <si>
    <t>Goblin Journeyman</t>
  </si>
  <si>
    <t>**Bollicina</t>
  </si>
  <si>
    <t>Lineman Norse Journeyman</t>
  </si>
  <si>
    <t>Lineman Orc Journeyman</t>
  </si>
  <si>
    <t>**Joèl Nigsedatter</t>
  </si>
  <si>
    <t>Zombie Journeyman</t>
  </si>
  <si>
    <t>Loner, Animosity</t>
  </si>
  <si>
    <t>GAM</t>
  </si>
  <si>
    <t>Marauders Journeyman</t>
  </si>
  <si>
    <t>**John Norum</t>
  </si>
  <si>
    <t>**Ciuffino</t>
  </si>
  <si>
    <t>**OJ Simpson</t>
  </si>
  <si>
    <t>Loner, Always Hungry, Mighty Blow, Really Stupid, Regeneration, Throw Team-Mate</t>
  </si>
  <si>
    <t>**Kaen "Baba" Nagò</t>
  </si>
  <si>
    <t>**Killer Kowalski</t>
  </si>
  <si>
    <t>**Super Stellino</t>
  </si>
  <si>
    <t>**Jake the Snake</t>
  </si>
  <si>
    <t>**Riblades Grad</t>
  </si>
  <si>
    <t>Loner, Bone-head, Mighty Blow, Thick Skull, Throw Team-Mate</t>
  </si>
  <si>
    <t>**Washington Banton</t>
  </si>
  <si>
    <t>**Rocky Joe</t>
  </si>
  <si>
    <t>Categorie delle Abilità</t>
  </si>
  <si>
    <t>Tabella degli Infortuni</t>
  </si>
  <si>
    <t>TEAM RATING</t>
  </si>
  <si>
    <t>COSTO DEI GIOCATORI</t>
  </si>
  <si>
    <t>**Gambetta Vieinà</t>
  </si>
  <si>
    <t>**Pierogay</t>
  </si>
  <si>
    <t>11-38 || BH || Partita Finita</t>
  </si>
  <si>
    <t>LEGA - TORNEO</t>
  </si>
  <si>
    <t>LUCCINI 2011</t>
  </si>
  <si>
    <t>RE-ROLLS</t>
  </si>
  <si>
    <t>x</t>
  </si>
  <si>
    <t>gp</t>
  </si>
  <si>
    <t>41-48 || SI || Miss Next Game</t>
  </si>
  <si>
    <t>SQUADRA</t>
  </si>
  <si>
    <t>STONEROCK REVENGER</t>
  </si>
  <si>
    <t>FAN FACTOR</t>
  </si>
  <si>
    <t>Dump-Off</t>
  </si>
  <si>
    <t>Loner, Dump-Off</t>
  </si>
  <si>
    <t>51-52 || SI || Niggling + Miss Next Game</t>
  </si>
  <si>
    <t>RAZZA</t>
  </si>
  <si>
    <t>ASSISTANT COACHES</t>
  </si>
  <si>
    <t>Shadowing, Stab</t>
  </si>
  <si>
    <t>Loner, Shadowing, Stab</t>
  </si>
  <si>
    <t>53-54 || SI || -1 MA + Miss Next Game</t>
  </si>
  <si>
    <t>ALLENATORE</t>
  </si>
  <si>
    <t>BAIOCCO</t>
  </si>
  <si>
    <t>CHEERLEADERS</t>
  </si>
  <si>
    <t>Loner, Block</t>
  </si>
  <si>
    <t>55-56 || SI || -1 VA + Miss Next Game</t>
  </si>
  <si>
    <t>CAPITANO</t>
  </si>
  <si>
    <t>Frenzy, Dodge, Jump Up</t>
  </si>
  <si>
    <t>57 || SI || -1 AG + Miss Next Game</t>
  </si>
  <si>
    <t>TESORERIA</t>
  </si>
  <si>
    <t>COSTI EXTRA</t>
  </si>
  <si>
    <t>BB Competition Rules Pack (LRB 6.0)
Team Roster v. 6.2010.1 by andrea.parrella</t>
  </si>
  <si>
    <t>58 || SI || -1 ST + Miss Next Game</t>
  </si>
  <si>
    <t>E-MAIL</t>
  </si>
  <si>
    <t>TOTALE VALORE DELLA SQUADRA</t>
  </si>
  <si>
    <t>Sure Hands, Thick Skull</t>
  </si>
  <si>
    <t>Loner, Sure Hands, Thick Skull</t>
  </si>
  <si>
    <t>Block, Thick Skull</t>
  </si>
  <si>
    <t>Loner, Block, Thick Skull</t>
  </si>
  <si>
    <t>Block, Dauntless, Frenzy, Thick Skull</t>
  </si>
  <si>
    <t>Loner, Block, Dauntless, Frenzy, Thick Skull</t>
  </si>
  <si>
    <t>Loner, Break Tackle, Dirty Player, Juggernaut, Mighty Blow, No Hands, Secret Weapon, Stand Firm</t>
  </si>
  <si>
    <t>MERCENARI</t>
  </si>
  <si>
    <t>ALTRI INDUCEMENTS</t>
  </si>
  <si>
    <t>BLOODWEISER BABES [0-2]</t>
  </si>
  <si>
    <t>Pass</t>
  </si>
  <si>
    <t>Loner, Pass</t>
  </si>
  <si>
    <t>BRIBES [0-3]</t>
  </si>
  <si>
    <t>Catch, Nerves of Steel</t>
  </si>
  <si>
    <t>Loner, Catch, Nerves of Steel</t>
  </si>
  <si>
    <t>EXTRA TEAM TRAINING [0-4]</t>
  </si>
  <si>
    <t>Block, Side Step</t>
  </si>
  <si>
    <t>Loner, Block, Side Step</t>
  </si>
  <si>
    <t>HALFLING MASTER CHEF [0-1]</t>
  </si>
  <si>
    <t>Dodge, Right Stuff, Stunty</t>
  </si>
  <si>
    <t>Loner, Dodge, Right Stuff, Stunty</t>
  </si>
  <si>
    <t>Bombardier, Dodge, Secret Weapon, Stunty</t>
  </si>
  <si>
    <t>Loner, Bombardier, Dodge, Secret Weapon, Stunty</t>
  </si>
  <si>
    <t>Chainsaw, Secret Weapon, Stunty</t>
  </si>
  <si>
    <t>Loner, Chainsaw, Secret Weapon, Stunty</t>
  </si>
  <si>
    <t>WIZARD [0-1]</t>
  </si>
  <si>
    <t>Ball &amp; Chain, No Hands, Secret Weapon, Stunty</t>
  </si>
  <si>
    <t>Loner, Ball &amp; Chain, No Hands, Secret Weapon, Stunty</t>
  </si>
  <si>
    <t>COSTI INDUCEMENTS</t>
  </si>
  <si>
    <t>Dodge, Leap, Stunty, Very Long Legs</t>
  </si>
  <si>
    <t>Loner, Dodge, Leap, Stunty, Very Long Legs</t>
  </si>
  <si>
    <t>G -&gt; Generali</t>
  </si>
  <si>
    <t>A -&gt; Agilità</t>
  </si>
  <si>
    <t>P -&gt; Passaggio</t>
  </si>
  <si>
    <t>S -&gt; Forza</t>
  </si>
  <si>
    <t>M -&gt; Mutazioni</t>
  </si>
  <si>
    <t>E -&gt; Straordinarie</t>
  </si>
  <si>
    <t>Mighty Blow, Stand Firm, Strong Arm, Take Root, Thick Skull, Throw Team-Mate</t>
  </si>
  <si>
    <t>Loner, Mighty Blow, Stand Firm, Strong Arm, Take Root, Thick Skull, Throw Team-Mate</t>
  </si>
  <si>
    <t>Block (Blocco)</t>
  </si>
  <si>
    <t>Catch (Ricezione)</t>
  </si>
  <si>
    <t>Accurate (Accurato)</t>
  </si>
  <si>
    <t>Break Tackle (Rompere marc.)</t>
  </si>
  <si>
    <t>Big Hand (Manona)</t>
  </si>
  <si>
    <t>Always Hungry (Sempre affamato)</t>
  </si>
  <si>
    <t>Dauntless (Incosciente)</t>
  </si>
  <si>
    <t>Diving Catch (Ricez. in tuffo)</t>
  </si>
  <si>
    <t>Dump-Off (Scaricare)</t>
  </si>
  <si>
    <t>Grab (Trascinare)</t>
  </si>
  <si>
    <t>Claws (Artigli)</t>
  </si>
  <si>
    <t>Pass, Safe Throw</t>
  </si>
  <si>
    <t>Loner, Pass, Safe Throw</t>
  </si>
  <si>
    <t>Dirty Player (Gioco sporco)</t>
  </si>
  <si>
    <t>Diving Tackle (Placc. in tuffo)</t>
  </si>
  <si>
    <t>Hail Mary Pass (Lancio disper.)</t>
  </si>
  <si>
    <t>Guard (Guardia)</t>
  </si>
  <si>
    <t>Disturbing Presence (Fastidioso)</t>
  </si>
  <si>
    <t>Ball &amp; Chain (Palla e Catena)</t>
  </si>
  <si>
    <t>Catch</t>
  </si>
  <si>
    <t>Loner, Catch</t>
  </si>
  <si>
    <t>Fend (Arresto)</t>
  </si>
  <si>
    <t>Dodge (Smarcarsi)</t>
  </si>
  <si>
    <t>Leader (Capitano)</t>
  </si>
  <si>
    <t>Juggernaut (Inarrestabile)</t>
  </si>
  <si>
    <t>Extra Arms (Braccia in più)</t>
  </si>
  <si>
    <t>Blood Lust (Sete di sangue)</t>
  </si>
  <si>
    <t>Frenzy (Furia)</t>
  </si>
  <si>
    <t>Jump Up (Saltar su)</t>
  </si>
  <si>
    <t>Nerves of Steel (Nervi d’acciaio)</t>
  </si>
  <si>
    <t>Mighty Blow (Colpo possente)</t>
  </si>
  <si>
    <t>Foul Appearance (Repellente)</t>
  </si>
  <si>
    <t>Bombardier (Bombarolo)</t>
  </si>
  <si>
    <t>Kick (Calcio)</t>
  </si>
  <si>
    <t>Leap (Balzo)</t>
  </si>
  <si>
    <t>Pass (Passare)</t>
  </si>
  <si>
    <t>Multiple Block (Blocco multiplo)</t>
  </si>
  <si>
    <t>Horns (Corna)</t>
  </si>
  <si>
    <t>Bone-head (Tonto)</t>
  </si>
  <si>
    <t>Catch, Dodge</t>
  </si>
  <si>
    <t>Loner, Catch, Dodge</t>
  </si>
  <si>
    <t>Kick-Off Return (Ritorno K-O)</t>
  </si>
  <si>
    <t>Side Step (Schivare)</t>
  </si>
  <si>
    <t>Safe Throw (Lancio sicuro)</t>
  </si>
  <si>
    <t>Piling On (Schiacciare)</t>
  </si>
  <si>
    <t>Prehensile Tail (Coda prensile)</t>
  </si>
  <si>
    <t>Chainsaw (Motosega)</t>
  </si>
  <si>
    <t>Sure Hands, Pass</t>
  </si>
  <si>
    <t>Loner, Sure Hands, Pass</t>
  </si>
  <si>
    <t>Pass Block (Interferenza)</t>
  </si>
  <si>
    <t>Sneaky Git (Fallo furtivo)</t>
  </si>
  <si>
    <t>Stand Firm (Massiccio)</t>
  </si>
  <si>
    <t>Tentacles (Tentacoli)</t>
  </si>
  <si>
    <t>Decay (Marcio)</t>
  </si>
  <si>
    <t>Pro (Pro)</t>
  </si>
  <si>
    <t>Sprint (Scattare)</t>
  </si>
  <si>
    <t>Strong Arm (Braccio forte)</t>
  </si>
  <si>
    <t>Two Heads (Due teste)</t>
  </si>
  <si>
    <t>Fan Favourite (Idolo dei tifosi)</t>
  </si>
  <si>
    <t>Shadowing (Marcare)</t>
  </si>
  <si>
    <t>Sure Feet (Piè fermo)</t>
  </si>
  <si>
    <t>Thick Skull (Pelle dura)</t>
  </si>
  <si>
    <t>Very Long Legs (Gambe lunghe)</t>
  </si>
  <si>
    <t>Hypnotic Gaze (Sguardo ipnotico)</t>
  </si>
  <si>
    <t>Regeneration, Thick Skull</t>
  </si>
  <si>
    <t>Loner, Regeneration, Thick Skull</t>
  </si>
  <si>
    <t>Strip Ball (Rubar palla)</t>
  </si>
  <si>
    <t>Loner (Solitario)</t>
  </si>
  <si>
    <t>Pass, Regeneration, Sure Hands</t>
  </si>
  <si>
    <t>Loner, Pass, Regeneration, Sure Hands</t>
  </si>
  <si>
    <t>Sure Hands (Presa sicura)</t>
  </si>
  <si>
    <t>No Hands (Senza mani)</t>
  </si>
  <si>
    <t>Block, Regeneration</t>
  </si>
  <si>
    <t>Loner, Block, Regeneration</t>
  </si>
  <si>
    <t>Tackle (Placcaggio)</t>
  </si>
  <si>
    <t>Nurgle's Rot (Cancrena di Nurgle)</t>
  </si>
  <si>
    <t>Decay, Regeneration</t>
  </si>
  <si>
    <t>Loner, Decay, Regeneration</t>
  </si>
  <si>
    <t>Wrestle (Lottare)</t>
  </si>
  <si>
    <t>Really Stupid (Stupido)</t>
  </si>
  <si>
    <t>Dodge, Stunty</t>
  </si>
  <si>
    <t>Loner, Dodge, Stunty</t>
  </si>
  <si>
    <t>Regeneration (Rigenerazione)</t>
  </si>
  <si>
    <t>Right Stuff (Lanciami)</t>
  </si>
  <si>
    <t>Loner, Bone-head, Mighty Blow, Prehensile Tail, Thick Skull</t>
  </si>
  <si>
    <t>Secret Weapon (Arma segreta)</t>
  </si>
  <si>
    <t>Regeneration</t>
  </si>
  <si>
    <t>Loner, Regeneration</t>
  </si>
  <si>
    <t>Stab (Pugnale)</t>
  </si>
  <si>
    <t>Stakes (Paletto)</t>
  </si>
  <si>
    <t>Stunty (Piccoletto)</t>
  </si>
  <si>
    <t>Regeneration, Stand Firm, Thick Skull</t>
  </si>
  <si>
    <t>Loner, Regeneration, Stand Firm, Thick Skull</t>
  </si>
  <si>
    <t>Take Root (Mette radici)</t>
  </si>
  <si>
    <t>Claws, Frenzy, Regeneration</t>
  </si>
  <si>
    <t>Loner, Claws, Frenzy, Regeneration</t>
  </si>
  <si>
    <t>Throw Team-Mate (Lanciare compagni)</t>
  </si>
  <si>
    <t>Titchy (Minuscolo)</t>
  </si>
  <si>
    <t>Block, Pass</t>
  </si>
  <si>
    <t>Loner, Block, Pass</t>
  </si>
  <si>
    <t>Wild Animal (Animale selvaggio)</t>
  </si>
  <si>
    <t>Block, Dauntless</t>
  </si>
  <si>
    <t>Loner, Block, Dauntless</t>
  </si>
  <si>
    <t>Block, Frenzy, Jump Up</t>
  </si>
  <si>
    <t>Loner, Block, Frenzy, Jump Up</t>
  </si>
  <si>
    <t>Frenzy</t>
  </si>
  <si>
    <t>Loner, Frenzy</t>
  </si>
  <si>
    <t>Loner, Claws, Disturbing Presence, Frenzy, Wild Animal</t>
  </si>
  <si>
    <t>Decay, Nurgle's Rot</t>
  </si>
  <si>
    <t>Loner, Decay, Nurgle's Rot</t>
  </si>
  <si>
    <t>Horns, Nurgle's Rot, Regeneration</t>
  </si>
  <si>
    <t>Loner, Horns, Nurgle's Rot, Regeneration</t>
  </si>
  <si>
    <t>Disturbing Presence, Foul Appearance, Nurgle's Rot, Regeneration</t>
  </si>
  <si>
    <t>Loner, Disturbing Presence, Foul Appearance, Nurgle's Rot, Regeneration</t>
  </si>
  <si>
    <t>Loner, Disturbing Presence, Foul Appearance, Mighty Blow, Nurgle's Rot, Really Stupid, Regeneration, Tentacles</t>
  </si>
  <si>
    <t>Dodge, Right Stuff, Side Step, Stunty, Titchy</t>
  </si>
  <si>
    <t>Loner, Dodge, Right Stuff, Side Step, Stunty, Titchy</t>
  </si>
  <si>
    <t>Bone-head, Mighty Blow, Thick Skull, Throw Team-Mate</t>
  </si>
  <si>
    <t>Right Stuff, Dodge, Stunty</t>
  </si>
  <si>
    <t>Loner, Right Stuff, Dodge, Stunty</t>
  </si>
  <si>
    <t>ASPM</t>
  </si>
  <si>
    <t>Pass, Sure Hands</t>
  </si>
  <si>
    <t>ASM</t>
  </si>
  <si>
    <t>Loner, Pass, Sure Hands</t>
  </si>
  <si>
    <t>SPM</t>
  </si>
  <si>
    <t>Loner, Frenzy, Mighty Blow, Prehensile Tail, Wild Animal</t>
  </si>
  <si>
    <t>Leap, Very Long Legs</t>
  </si>
  <si>
    <t>Loner, Leap, Very Long Legs</t>
  </si>
  <si>
    <t>Diving Catch, Leap, Very Long Legs</t>
  </si>
  <si>
    <t>Loner, Diving Catch, Leap, Very Long Legs</t>
  </si>
  <si>
    <t>Diving Tackle, Jump Up, Leap, Very Long Legs</t>
  </si>
  <si>
    <t>GAS</t>
  </si>
  <si>
    <t>P</t>
  </si>
  <si>
    <t>Loner, Diving Tackle, Jump Up, Leap, Very Long Legs</t>
  </si>
  <si>
    <t>Mighty Blow, Regeneration</t>
  </si>
  <si>
    <t>Loner, Mighty Blow, Regeneration</t>
  </si>
  <si>
    <t>Animosity, Pass, Sure Hands</t>
  </si>
  <si>
    <t>GPM</t>
  </si>
  <si>
    <t>Loner, Animosity, Pass, Sure Hands</t>
  </si>
  <si>
    <t>Animosity, Block</t>
  </si>
  <si>
    <t>Loner, Animosity, Block</t>
  </si>
  <si>
    <t>Blood Lust, Hypnotic Gaze, Regeneration</t>
  </si>
  <si>
    <t>Loner, Blood Lust, Hypnotic Gaze, Regeneration</t>
  </si>
  <si>
    <t>Catch, Dodge, Sprint</t>
  </si>
  <si>
    <t>Loner, Catch, Dodge, Sprint</t>
  </si>
  <si>
    <t>Block, Dodge, Leap</t>
  </si>
  <si>
    <t>Loner, Block, Dodge, Leap</t>
  </si>
  <si>
    <t>Loner, Hail Mary Pass, Pass, Secret Weapon, Strong Arm, Sure Hands, Thick Skull</t>
  </si>
  <si>
    <t>Loner, Bone-head, Break Tackle, Dodge, Mighty Blow, Thick Skull, Throw Team-Mate</t>
  </si>
  <si>
    <t>Amazon, Halfling, Ogre</t>
  </si>
  <si>
    <t>Loner, Bone-head, Mighty Blow, Nerves of Steel, Strong Arm, Thick Skull, Throw Team-Mate</t>
  </si>
  <si>
    <t>Chaos, Nurgle, Ogre **</t>
  </si>
  <si>
    <t>Loner, Accurate, Bombardier, Dodge, Right Stuff, Secret Weapon, Stunty</t>
  </si>
  <si>
    <t>Goblin, Ogre, Orc</t>
  </si>
  <si>
    <t>Loner, Accurate, Block, Bombardier, Secret Weapon, Thick Skull</t>
  </si>
  <si>
    <t>Dwarf, Norse</t>
  </si>
  <si>
    <t>Loner, Block, Hypnotic Gaze, Regeneration, Side Step</t>
  </si>
  <si>
    <t>Necromantic, Undead, Vampire</t>
  </si>
  <si>
    <t>Loner, Dauntless, Regeneration, Thick Skull</t>
  </si>
  <si>
    <t>Vampire, Chaos Pact</t>
  </si>
  <si>
    <t>Loner, Block, Mighty Blow, Stand Firm, Strong Arm, Thick Skull, Throw Team-Mate</t>
  </si>
  <si>
    <t>Loner, Diving Catch, Hail Mary Pass, Kick, Kick-off Return, Pass Block</t>
  </si>
  <si>
    <t>Elf, High Elf, Wood Elf</t>
  </si>
  <si>
    <t>Loner, Catch, Dodge, Hypnotic Gaze, Nerves of Steel, Pass Block</t>
  </si>
  <si>
    <t>Dark Elf, Elf, High Elf, Wood Elf</t>
  </si>
  <si>
    <t>Loner, Ball &amp; Chain, Disturbing Presence, Foul Appearance, No Hands, Secret Weapon</t>
  </si>
  <si>
    <t>Skaven, Chaos Pact, Underworld</t>
  </si>
  <si>
    <t>Loner, Block, Chainsaw, Secret Weapon, Thick Skull</t>
  </si>
  <si>
    <t>Loner, Ball &amp; Chain, Mighty Blow, No Hands, Secret Weapon, Stunty</t>
  </si>
  <si>
    <t>Loner, Block, Claws, Juggernaut</t>
  </si>
  <si>
    <t>Skaven, Underworld</t>
  </si>
  <si>
    <t>Loner, Frenzy, Horns, Mighty Blow, Thick Skull</t>
  </si>
  <si>
    <t>Chaos, Chaos Dwarf, Nurgle</t>
  </si>
  <si>
    <t>Loner, Block, Dodge, Fend, Sprint, Sure Feet</t>
  </si>
  <si>
    <t>Loner, Block, Dauntless, Frenzy, Multiple Block, Thick Skull</t>
  </si>
  <si>
    <t>Loner, Chainsaw, Regeneration, Secret Weapon, Side Step</t>
  </si>
  <si>
    <t>Khemri, Necromantic, Undead</t>
  </si>
  <si>
    <t>Loner, Dodge, Extra Arms, Prehensile Tail, Two Heads</t>
  </si>
  <si>
    <t>Loner, Frenzy, Mighty Blow, Prehensile Tail</t>
  </si>
  <si>
    <t>Loner, Chainsaw, Secret Weapon, Stand Firm</t>
  </si>
  <si>
    <t>Amazon, Human, Lizardman, Norse, Vampire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</si>
  <si>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</si>
  <si>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</si>
  <si>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</si>
  <si>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*Hubris Rakarth</t>
  </si>
  <si>
    <t>Loner, Block, Dirty Player, Jump Up, Mighty Blow, Strip Ball</t>
  </si>
  <si>
    <t>Dark Elf, Elf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</si>
  <si>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</si>
  <si>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</si>
  <si>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</si>
  <si>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Dark Elf, Khemri</t>
  </si>
  <si>
    <t>Loner, Catch, Diving Catch, Dodge, Sprint</t>
  </si>
  <si>
    <t>Loner, Block, Diving Catch, Dodge, Leap, Side Step</t>
  </si>
  <si>
    <t>Elf, Wood Elf</t>
  </si>
  <si>
    <t>Loner, Pass, Strong Arm, Sure Hands, Tentacles</t>
  </si>
  <si>
    <t>Chaos, Nurgle</t>
  </si>
  <si>
    <t>Loner, Block, Dirty Player, Mighty Blow</t>
  </si>
  <si>
    <t>Loner, Catch, Diving Tackle, Jump Up, Leap, Pass Block, Shadowing, Very Long Legs</t>
  </si>
  <si>
    <t>Lizardman, Slann</t>
  </si>
  <si>
    <t>Loner, Chainsaw, Secret Weapon</t>
  </si>
  <si>
    <t>Loner, Block, Mighty Blow</t>
  </si>
  <si>
    <t>Loner, Block, Mighty Blow, Thick Skull, Throw Team-Mate</t>
  </si>
  <si>
    <t>Any team except: Khemri, Necromantic, Undead</t>
  </si>
  <si>
    <t>Loner, Block, Dodge, Chainsaw, Secret Weapon, Stunty</t>
  </si>
  <si>
    <t>Chaos Dwarf, Goblin, Ogre</t>
  </si>
  <si>
    <t>Loner, Block, Dauntless, Tackle, Wrestle</t>
  </si>
  <si>
    <t>Elf, High Elf</t>
  </si>
  <si>
    <t>Loner, Block, Dodge, Nerves of Steel, Right Stuff, Stunty</t>
  </si>
  <si>
    <t>Halfling, Human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</si>
  <si>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</si>
  <si>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</si>
  <si>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</si>
  <si>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Regeneration, Throw Team-Mate</t>
  </si>
  <si>
    <t>Goblin, Orc</t>
  </si>
  <si>
    <t>Loner, Dodge, Frenzy, Jump Up, Juggernaut, Leap</t>
  </si>
  <si>
    <t>Amazon, Dark Elf</t>
  </si>
  <si>
    <t>Loner, Dirty Player, Dodge, Leap, Right Stuff, Sprint, Stunty, Sure Feet, Very Long Legs</t>
  </si>
  <si>
    <t>Loner, Block, Break Tackle, Juggernaut, Regeneration, Strip Ball</t>
  </si>
  <si>
    <t>Loner, Block, Grab, Guard, Stand Firm</t>
  </si>
  <si>
    <t>Loner, Block, Jump Up, Pass Block, Regeneration, Secret Weapon, Side Step, Stab</t>
  </si>
  <si>
    <t>Khemri, Undead</t>
  </si>
  <si>
    <t>Loner, Dodge, Prehensile Tail, Shadowing, Stab</t>
  </si>
  <si>
    <t>Loner, Fend, Kick-off Return, Pass, Safe Throw, Sure Hands, Strong Arm</t>
  </si>
  <si>
    <t>Loner, Block, Jump Up, Mighty Blow, Thick Skull</t>
  </si>
  <si>
    <t>Loner, Catch, Claws, Frenzy, Regeneration, Wrestle</t>
  </si>
  <si>
    <t>Necromantic, Norse, Vampire</t>
  </si>
  <si>
    <t>Loner, Dauntless, Side Step, Thick Skull</t>
  </si>
  <si>
    <t>Amazon, Halfling, Wood Elf</t>
  </si>
  <si>
    <t>Loner, Block, Dauntless, Dodge, Jump Up, Stab, Stakes</t>
  </si>
  <si>
    <t>Amazon, Dwarf, Halfling, High Elf, Human, Norse, Wood Elf</t>
  </si>
  <si>
    <t>Loner, Hail Mary Pass, Pass, Secret Weapon, Strong Arm, Sure Hands, Tackle, Thick Skull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</si>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</sst>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\k"/>
    <numFmt numFmtId="167" formatCode="#,##0&quot;.000 gp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"/>
      <color indexed="16"/>
      <name val="Arial"/>
      <family val="2"/>
    </font>
    <font>
      <b/>
      <sz val="8"/>
      <color indexed="63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2" borderId="1" applyNumberFormat="0" applyAlignment="0" applyProtection="0"/>
    <xf numFmtId="164" fontId="4" fillId="0" borderId="2" applyNumberFormat="0" applyFill="0" applyAlignment="0" applyProtection="0"/>
    <xf numFmtId="164" fontId="5" fillId="10" borderId="3" applyNumberFormat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7" borderId="0" applyNumberFormat="0" applyBorder="0" applyAlignment="0" applyProtection="0"/>
    <xf numFmtId="164" fontId="2" fillId="12" borderId="0" applyNumberFormat="0" applyBorder="0" applyAlignment="0" applyProtection="0"/>
    <xf numFmtId="164" fontId="2" fillId="8" borderId="0" applyNumberFormat="0" applyBorder="0" applyAlignment="0" applyProtection="0"/>
    <xf numFmtId="164" fontId="2" fillId="13" borderId="0" applyNumberFormat="0" applyBorder="0" applyAlignment="0" applyProtection="0"/>
    <xf numFmtId="164" fontId="6" fillId="3" borderId="1" applyNumberFormat="0" applyAlignment="0" applyProtection="0"/>
    <xf numFmtId="164" fontId="7" fillId="4" borderId="0" applyNumberFormat="0" applyBorder="0" applyAlignment="0" applyProtection="0"/>
    <xf numFmtId="164" fontId="0" fillId="4" borderId="4" applyNumberFormat="0" applyAlignment="0" applyProtection="0"/>
    <xf numFmtId="164" fontId="8" fillId="2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4" borderId="0" applyNumberFormat="0" applyBorder="0" applyAlignment="0" applyProtection="0"/>
    <xf numFmtId="164" fontId="17" fillId="15" borderId="0" applyNumberFormat="0" applyBorder="0" applyAlignment="0" applyProtection="0"/>
  </cellStyleXfs>
  <cellXfs count="22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 shrinkToFit="1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18" fillId="0" borderId="0" xfId="0" applyFont="1" applyAlignment="1" applyProtection="1">
      <alignment vertical="center"/>
      <protection/>
    </xf>
    <xf numFmtId="164" fontId="18" fillId="0" borderId="0" xfId="0" applyFont="1" applyAlignment="1" applyProtection="1">
      <alignment vertical="center" shrinkToFit="1"/>
      <protection/>
    </xf>
    <xf numFmtId="164" fontId="18" fillId="0" borderId="0" xfId="0" applyFont="1" applyAlignment="1" applyProtection="1">
      <alignment horizontal="center" vertical="center"/>
      <protection/>
    </xf>
    <xf numFmtId="164" fontId="18" fillId="0" borderId="0" xfId="0" applyFont="1" applyAlignment="1" applyProtection="1">
      <alignment vertical="center" wrapText="1"/>
      <protection/>
    </xf>
    <xf numFmtId="165" fontId="18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165" fontId="19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0" xfId="0" applyBorder="1" applyAlignment="1" applyProtection="1">
      <alignment/>
      <protection hidden="1"/>
    </xf>
    <xf numFmtId="164" fontId="0" fillId="0" borderId="11" xfId="0" applyBorder="1" applyAlignment="1" applyProtection="1">
      <alignment/>
      <protection hidden="1"/>
    </xf>
    <xf numFmtId="164" fontId="0" fillId="0" borderId="12" xfId="0" applyBorder="1" applyAlignment="1" applyProtection="1">
      <alignment/>
      <protection hidden="1"/>
    </xf>
    <xf numFmtId="164" fontId="19" fillId="0" borderId="0" xfId="0" applyNumberFormat="1" applyFont="1" applyFill="1" applyBorder="1" applyAlignment="1" applyProtection="1">
      <alignment vertical="center"/>
      <protection/>
    </xf>
    <xf numFmtId="164" fontId="18" fillId="0" borderId="13" xfId="0" applyFont="1" applyBorder="1" applyAlignment="1" applyProtection="1">
      <alignment vertical="center"/>
      <protection/>
    </xf>
    <xf numFmtId="164" fontId="19" fillId="11" borderId="14" xfId="0" applyFont="1" applyFill="1" applyBorder="1" applyAlignment="1" applyProtection="1">
      <alignment/>
      <protection hidden="1"/>
    </xf>
    <xf numFmtId="164" fontId="19" fillId="11" borderId="15" xfId="0" applyFont="1" applyFill="1" applyBorder="1" applyAlignment="1" applyProtection="1">
      <alignment vertical="center"/>
      <protection hidden="1"/>
    </xf>
    <xf numFmtId="164" fontId="19" fillId="11" borderId="15" xfId="0" applyFont="1" applyFill="1" applyBorder="1" applyAlignment="1" applyProtection="1">
      <alignment horizontal="center" vertical="center" shrinkToFit="1"/>
      <protection hidden="1"/>
    </xf>
    <xf numFmtId="164" fontId="19" fillId="11" borderId="15" xfId="0" applyFont="1" applyFill="1" applyBorder="1" applyAlignment="1" applyProtection="1">
      <alignment horizontal="center" vertical="center"/>
      <protection hidden="1"/>
    </xf>
    <xf numFmtId="164" fontId="19" fillId="11" borderId="15" xfId="0" applyNumberFormat="1" applyFont="1" applyFill="1" applyBorder="1" applyAlignment="1" applyProtection="1">
      <alignment vertical="center"/>
      <protection hidden="1"/>
    </xf>
    <xf numFmtId="164" fontId="19" fillId="11" borderId="15" xfId="0" applyFont="1" applyFill="1" applyBorder="1" applyAlignment="1" applyProtection="1">
      <alignment vertical="center"/>
      <protection/>
    </xf>
    <xf numFmtId="164" fontId="19" fillId="11" borderId="16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18" fillId="0" borderId="13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 shrinkToFit="1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 wrapText="1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right" vertical="center"/>
      <protection/>
    </xf>
    <xf numFmtId="165" fontId="19" fillId="0" borderId="0" xfId="0" applyNumberFormat="1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righ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5" fontId="18" fillId="0" borderId="0" xfId="0" applyNumberFormat="1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horizontal="left"/>
      <protection/>
    </xf>
    <xf numFmtId="164" fontId="19" fillId="0" borderId="0" xfId="0" applyFont="1" applyFill="1" applyBorder="1" applyAlignment="1" applyProtection="1">
      <alignment/>
      <protection/>
    </xf>
    <xf numFmtId="164" fontId="19" fillId="11" borderId="17" xfId="0" applyFont="1" applyFill="1" applyBorder="1" applyAlignment="1" applyProtection="1">
      <alignment/>
      <protection hidden="1"/>
    </xf>
    <xf numFmtId="164" fontId="20" fillId="11" borderId="18" xfId="0" applyFont="1" applyFill="1" applyBorder="1" applyAlignment="1" applyProtection="1">
      <alignment horizontal="center" vertical="center"/>
      <protection hidden="1"/>
    </xf>
    <xf numFmtId="164" fontId="20" fillId="11" borderId="19" xfId="0" applyFont="1" applyFill="1" applyBorder="1" applyAlignment="1" applyProtection="1">
      <alignment horizontal="center" vertical="center"/>
      <protection hidden="1"/>
    </xf>
    <xf numFmtId="164" fontId="20" fillId="11" borderId="19" xfId="0" applyFont="1" applyFill="1" applyBorder="1" applyAlignment="1" applyProtection="1">
      <alignment horizontal="center" vertical="center" shrinkToFit="1"/>
      <protection hidden="1"/>
    </xf>
    <xf numFmtId="164" fontId="22" fillId="11" borderId="19" xfId="0" applyNumberFormat="1" applyFont="1" applyFill="1" applyBorder="1" applyAlignment="1" applyProtection="1">
      <alignment horizontal="center" vertical="center" shrinkToFit="1"/>
      <protection hidden="1"/>
    </xf>
    <xf numFmtId="164" fontId="23" fillId="11" borderId="19" xfId="0" applyFont="1" applyFill="1" applyBorder="1" applyAlignment="1" applyProtection="1">
      <alignment horizontal="center" vertical="center" shrinkToFit="1"/>
      <protection hidden="1"/>
    </xf>
    <xf numFmtId="164" fontId="20" fillId="11" borderId="20" xfId="0" applyFont="1" applyFill="1" applyBorder="1" applyAlignment="1" applyProtection="1">
      <alignment horizontal="center" vertical="center" shrinkToFit="1"/>
      <protection hidden="1"/>
    </xf>
    <xf numFmtId="164" fontId="20" fillId="11" borderId="18" xfId="0" applyFont="1" applyFill="1" applyBorder="1" applyAlignment="1" applyProtection="1">
      <alignment horizontal="center" vertical="center" shrinkToFit="1"/>
      <protection hidden="1"/>
    </xf>
    <xf numFmtId="164" fontId="20" fillId="11" borderId="21" xfId="0" applyFont="1" applyFill="1" applyBorder="1" applyAlignment="1" applyProtection="1">
      <alignment horizontal="center" vertical="center" shrinkToFit="1"/>
      <protection/>
    </xf>
    <xf numFmtId="164" fontId="19" fillId="11" borderId="22" xfId="0" applyFont="1" applyFill="1" applyBorder="1" applyAlignment="1" applyProtection="1">
      <alignment vertical="center"/>
      <protection/>
    </xf>
    <xf numFmtId="164" fontId="19" fillId="6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horizontal="center" vertical="center"/>
      <protection/>
    </xf>
    <xf numFmtId="164" fontId="18" fillId="0" borderId="23" xfId="0" applyFont="1" applyFill="1" applyBorder="1" applyAlignment="1" applyProtection="1">
      <alignment vertical="center" shrinkToFit="1"/>
      <protection/>
    </xf>
    <xf numFmtId="164" fontId="18" fillId="0" borderId="23" xfId="0" applyFont="1" applyFill="1" applyBorder="1" applyAlignment="1" applyProtection="1">
      <alignment horizontal="center" vertical="center"/>
      <protection/>
    </xf>
    <xf numFmtId="164" fontId="18" fillId="0" borderId="23" xfId="0" applyFont="1" applyFill="1" applyBorder="1" applyAlignment="1" applyProtection="1">
      <alignment vertical="center" wrapText="1"/>
      <protection/>
    </xf>
    <xf numFmtId="165" fontId="18" fillId="0" borderId="23" xfId="0" applyNumberFormat="1" applyFont="1" applyFill="1" applyBorder="1" applyAlignment="1" applyProtection="1">
      <alignment horizontal="center" vertical="center"/>
      <protection/>
    </xf>
    <xf numFmtId="165" fontId="24" fillId="6" borderId="24" xfId="0" applyNumberFormat="1" applyFont="1" applyFill="1" applyBorder="1" applyAlignment="1" applyProtection="1">
      <alignment horizontal="center" vertical="center" textRotation="180"/>
      <protection/>
    </xf>
    <xf numFmtId="164" fontId="25" fillId="0" borderId="0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horizontal="left" vertical="center"/>
      <protection/>
    </xf>
    <xf numFmtId="164" fontId="19" fillId="0" borderId="25" xfId="0" applyFont="1" applyFill="1" applyBorder="1" applyAlignment="1" applyProtection="1">
      <alignment horizontal="center" vertical="center"/>
      <protection locked="0"/>
    </xf>
    <xf numFmtId="164" fontId="25" fillId="0" borderId="26" xfId="0" applyFont="1" applyFill="1" applyBorder="1" applyAlignment="1" applyProtection="1">
      <alignment vertical="center" shrinkToFit="1"/>
      <protection locked="0"/>
    </xf>
    <xf numFmtId="164" fontId="19" fillId="0" borderId="26" xfId="0" applyFont="1" applyFill="1" applyBorder="1" applyAlignment="1" applyProtection="1">
      <alignment horizontal="center" vertical="center" shrinkToFit="1"/>
      <protection hidden="1"/>
    </xf>
    <xf numFmtId="164" fontId="25" fillId="0" borderId="26" xfId="0" applyFont="1" applyFill="1" applyBorder="1" applyAlignment="1" applyProtection="1">
      <alignment horizontal="center" vertical="center"/>
      <protection hidden="1"/>
    </xf>
    <xf numFmtId="164" fontId="26" fillId="0" borderId="26" xfId="0" applyFont="1" applyFill="1" applyBorder="1" applyAlignment="1" applyProtection="1">
      <alignment horizontal="center" vertical="center" wrapText="1" shrinkToFit="1"/>
      <protection hidden="1"/>
    </xf>
    <xf numFmtId="164" fontId="26" fillId="16" borderId="26" xfId="0" applyFont="1" applyFill="1" applyBorder="1" applyAlignment="1" applyProtection="1">
      <alignment horizontal="center" vertical="center" wrapText="1"/>
      <protection locked="0"/>
    </xf>
    <xf numFmtId="164" fontId="19" fillId="17" borderId="26" xfId="0" applyFont="1" applyFill="1" applyBorder="1" applyAlignment="1" applyProtection="1">
      <alignment horizontal="center" vertical="center" shrinkToFit="1"/>
      <protection locked="0"/>
    </xf>
    <xf numFmtId="164" fontId="27" fillId="16" borderId="26" xfId="0" applyFont="1" applyFill="1" applyBorder="1" applyAlignment="1" applyProtection="1">
      <alignment horizontal="center" vertical="center"/>
      <protection hidden="1"/>
    </xf>
    <xf numFmtId="166" fontId="28" fillId="16" borderId="26" xfId="0" applyNumberFormat="1" applyFont="1" applyFill="1" applyBorder="1" applyAlignment="1" applyProtection="1">
      <alignment horizontal="center" vertical="center"/>
      <protection locked="0"/>
    </xf>
    <xf numFmtId="164" fontId="18" fillId="16" borderId="26" xfId="0" applyNumberFormat="1" applyFont="1" applyFill="1" applyBorder="1" applyAlignment="1" applyProtection="1">
      <alignment horizontal="center" vertical="center" shrinkToFit="1"/>
      <protection locked="0"/>
    </xf>
    <xf numFmtId="164" fontId="19" fillId="0" borderId="26" xfId="0" applyFont="1" applyFill="1" applyBorder="1" applyAlignment="1" applyProtection="1">
      <alignment horizontal="center" vertical="center" shrinkToFit="1"/>
      <protection locked="0"/>
    </xf>
    <xf numFmtId="164" fontId="19" fillId="5" borderId="27" xfId="0" applyNumberFormat="1" applyFont="1" applyFill="1" applyBorder="1" applyAlignment="1" applyProtection="1">
      <alignment horizontal="center" vertical="center" shrinkToFit="1"/>
      <protection hidden="1"/>
    </xf>
    <xf numFmtId="164" fontId="19" fillId="0" borderId="28" xfId="0" applyNumberFormat="1" applyFont="1" applyFill="1" applyBorder="1" applyAlignment="1" applyProtection="1">
      <alignment horizontal="center" vertical="center" shrinkToFit="1"/>
      <protection hidden="1"/>
    </xf>
    <xf numFmtId="164" fontId="19" fillId="0" borderId="29" xfId="0" applyNumberFormat="1" applyFont="1" applyFill="1" applyBorder="1" applyAlignment="1" applyProtection="1">
      <alignment horizontal="right" vertical="center" shrinkToFit="1"/>
      <protection hidden="1"/>
    </xf>
    <xf numFmtId="164" fontId="19" fillId="11" borderId="22" xfId="0" applyNumberFormat="1" applyFont="1" applyFill="1" applyBorder="1" applyAlignment="1" applyProtection="1">
      <alignment vertical="center"/>
      <protection/>
    </xf>
    <xf numFmtId="164" fontId="19" fillId="0" borderId="0" xfId="0" applyNumberFormat="1" applyFont="1" applyFill="1" applyBorder="1" applyAlignment="1" applyProtection="1">
      <alignment vertical="center"/>
      <protection locked="0"/>
    </xf>
    <xf numFmtId="164" fontId="19" fillId="0" borderId="30" xfId="0" applyFont="1" applyFill="1" applyBorder="1" applyAlignment="1" applyProtection="1">
      <alignment horizontal="center" vertical="center"/>
      <protection locked="0"/>
    </xf>
    <xf numFmtId="164" fontId="25" fillId="0" borderId="31" xfId="0" applyFont="1" applyFill="1" applyBorder="1" applyAlignment="1" applyProtection="1">
      <alignment vertical="center" shrinkToFit="1"/>
      <protection locked="0"/>
    </xf>
    <xf numFmtId="164" fontId="19" fillId="0" borderId="31" xfId="0" applyFont="1" applyFill="1" applyBorder="1" applyAlignment="1" applyProtection="1">
      <alignment horizontal="center" vertical="center" shrinkToFit="1"/>
      <protection hidden="1"/>
    </xf>
    <xf numFmtId="164" fontId="25" fillId="0" borderId="31" xfId="0" applyFont="1" applyFill="1" applyBorder="1" applyAlignment="1" applyProtection="1">
      <alignment horizontal="center" vertical="center"/>
      <protection hidden="1"/>
    </xf>
    <xf numFmtId="164" fontId="26" fillId="0" borderId="31" xfId="0" applyFont="1" applyFill="1" applyBorder="1" applyAlignment="1" applyProtection="1">
      <alignment horizontal="center" vertical="center" wrapText="1" shrinkToFit="1"/>
      <protection hidden="1"/>
    </xf>
    <xf numFmtId="164" fontId="26" fillId="16" borderId="31" xfId="0" applyFont="1" applyFill="1" applyBorder="1" applyAlignment="1" applyProtection="1">
      <alignment horizontal="center" vertical="center" wrapText="1"/>
      <protection locked="0"/>
    </xf>
    <xf numFmtId="164" fontId="19" fillId="17" borderId="31" xfId="0" applyFont="1" applyFill="1" applyBorder="1" applyAlignment="1" applyProtection="1">
      <alignment horizontal="center" vertical="center" shrinkToFit="1"/>
      <protection locked="0"/>
    </xf>
    <xf numFmtId="164" fontId="27" fillId="16" borderId="31" xfId="0" applyFont="1" applyFill="1" applyBorder="1" applyAlignment="1" applyProtection="1">
      <alignment horizontal="center" vertical="center"/>
      <protection hidden="1"/>
    </xf>
    <xf numFmtId="164" fontId="18" fillId="16" borderId="31" xfId="0" applyNumberFormat="1" applyFont="1" applyFill="1" applyBorder="1" applyAlignment="1" applyProtection="1">
      <alignment horizontal="center" vertical="center" shrinkToFit="1"/>
      <protection locked="0"/>
    </xf>
    <xf numFmtId="164" fontId="19" fillId="0" borderId="31" xfId="0" applyFont="1" applyFill="1" applyBorder="1" applyAlignment="1" applyProtection="1">
      <alignment horizontal="center" vertical="center" shrinkToFit="1"/>
      <protection locked="0"/>
    </xf>
    <xf numFmtId="164" fontId="18" fillId="0" borderId="32" xfId="0" applyFont="1" applyFill="1" applyBorder="1" applyAlignment="1" applyProtection="1">
      <alignment vertical="center" shrinkToFit="1"/>
      <protection/>
    </xf>
    <xf numFmtId="164" fontId="18" fillId="0" borderId="32" xfId="0" applyFont="1" applyFill="1" applyBorder="1" applyAlignment="1" applyProtection="1">
      <alignment horizontal="center" vertical="center"/>
      <protection/>
    </xf>
    <xf numFmtId="164" fontId="18" fillId="0" borderId="32" xfId="0" applyFont="1" applyFill="1" applyBorder="1" applyAlignment="1" applyProtection="1">
      <alignment vertical="center" wrapText="1"/>
      <protection/>
    </xf>
    <xf numFmtId="165" fontId="18" fillId="0" borderId="32" xfId="0" applyNumberFormat="1" applyFont="1" applyFill="1" applyBorder="1" applyAlignment="1" applyProtection="1">
      <alignment horizontal="center" vertical="center"/>
      <protection/>
    </xf>
    <xf numFmtId="164" fontId="18" fillId="0" borderId="23" xfId="0" applyFont="1" applyBorder="1" applyAlignment="1" applyProtection="1">
      <alignment vertical="center" shrinkToFit="1"/>
      <protection/>
    </xf>
    <xf numFmtId="165" fontId="24" fillId="10" borderId="24" xfId="0" applyNumberFormat="1" applyFont="1" applyFill="1" applyBorder="1" applyAlignment="1" applyProtection="1">
      <alignment horizontal="center" vertical="center" textRotation="180"/>
      <protection/>
    </xf>
    <xf numFmtId="164" fontId="18" fillId="0" borderId="0" xfId="0" applyFont="1" applyBorder="1" applyAlignment="1" applyProtection="1">
      <alignment vertical="center" shrinkToFit="1"/>
      <protection/>
    </xf>
    <xf numFmtId="164" fontId="18" fillId="0" borderId="0" xfId="0" applyFont="1" applyFill="1" applyAlignment="1" applyProtection="1">
      <alignment vertical="center" shrinkToFit="1"/>
      <protection/>
    </xf>
    <xf numFmtId="164" fontId="18" fillId="0" borderId="0" xfId="0" applyFont="1" applyFill="1" applyAlignment="1">
      <alignment vertical="center" shrinkToFit="1"/>
    </xf>
    <xf numFmtId="164" fontId="18" fillId="0" borderId="0" xfId="0" applyFont="1" applyFill="1" applyBorder="1" applyAlignment="1" applyProtection="1">
      <alignment vertical="center" wrapText="1" shrinkToFit="1"/>
      <protection/>
    </xf>
    <xf numFmtId="164" fontId="18" fillId="0" borderId="23" xfId="0" applyFont="1" applyBorder="1" applyAlignment="1" applyProtection="1">
      <alignment horizontal="center" vertical="center"/>
      <protection/>
    </xf>
    <xf numFmtId="165" fontId="18" fillId="0" borderId="23" xfId="0" applyNumberFormat="1" applyFont="1" applyBorder="1" applyAlignment="1" applyProtection="1">
      <alignment horizontal="center" vertical="center"/>
      <protection/>
    </xf>
    <xf numFmtId="164" fontId="18" fillId="0" borderId="0" xfId="0" applyFont="1" applyBorder="1" applyAlignment="1" applyProtection="1">
      <alignment horizontal="center" vertical="center"/>
      <protection/>
    </xf>
    <xf numFmtId="165" fontId="18" fillId="0" borderId="0" xfId="0" applyNumberFormat="1" applyFont="1" applyBorder="1" applyAlignment="1" applyProtection="1">
      <alignment horizontal="center" vertical="center"/>
      <protection/>
    </xf>
    <xf numFmtId="165" fontId="24" fillId="18" borderId="24" xfId="0" applyNumberFormat="1" applyFont="1" applyFill="1" applyBorder="1" applyAlignment="1" applyProtection="1">
      <alignment horizontal="center" vertical="center" textRotation="180"/>
      <protection/>
    </xf>
    <xf numFmtId="164" fontId="19" fillId="0" borderId="33" xfId="0" applyFont="1" applyFill="1" applyBorder="1" applyAlignment="1" applyProtection="1">
      <alignment horizontal="center" vertical="center"/>
      <protection locked="0"/>
    </xf>
    <xf numFmtId="164" fontId="25" fillId="0" borderId="34" xfId="0" applyFont="1" applyFill="1" applyBorder="1" applyAlignment="1" applyProtection="1">
      <alignment vertical="center" shrinkToFit="1"/>
      <protection locked="0"/>
    </xf>
    <xf numFmtId="164" fontId="19" fillId="0" borderId="34" xfId="0" applyFont="1" applyFill="1" applyBorder="1" applyAlignment="1" applyProtection="1">
      <alignment horizontal="center" vertical="center" shrinkToFit="1"/>
      <protection hidden="1"/>
    </xf>
    <xf numFmtId="164" fontId="25" fillId="0" borderId="34" xfId="0" applyFont="1" applyFill="1" applyBorder="1" applyAlignment="1" applyProtection="1">
      <alignment horizontal="center" vertical="center"/>
      <protection hidden="1"/>
    </xf>
    <xf numFmtId="164" fontId="26" fillId="0" borderId="34" xfId="0" applyFont="1" applyFill="1" applyBorder="1" applyAlignment="1" applyProtection="1">
      <alignment horizontal="center" vertical="center" wrapText="1" shrinkToFit="1"/>
      <protection hidden="1"/>
    </xf>
    <xf numFmtId="164" fontId="26" fillId="16" borderId="34" xfId="0" applyFont="1" applyFill="1" applyBorder="1" applyAlignment="1" applyProtection="1">
      <alignment horizontal="center" vertical="center" wrapText="1"/>
      <protection locked="0"/>
    </xf>
    <xf numFmtId="164" fontId="19" fillId="17" borderId="34" xfId="0" applyFont="1" applyFill="1" applyBorder="1" applyAlignment="1" applyProtection="1">
      <alignment horizontal="center" vertical="center" shrinkToFit="1"/>
      <protection locked="0"/>
    </xf>
    <xf numFmtId="164" fontId="27" fillId="16" borderId="34" xfId="0" applyFont="1" applyFill="1" applyBorder="1" applyAlignment="1" applyProtection="1">
      <alignment horizontal="center" vertical="center"/>
      <protection hidden="1"/>
    </xf>
    <xf numFmtId="164" fontId="18" fillId="16" borderId="34" xfId="0" applyNumberFormat="1" applyFont="1" applyFill="1" applyBorder="1" applyAlignment="1" applyProtection="1">
      <alignment horizontal="center" vertical="center" shrinkToFit="1"/>
      <protection locked="0"/>
    </xf>
    <xf numFmtId="164" fontId="19" fillId="0" borderId="34" xfId="0" applyFont="1" applyFill="1" applyBorder="1" applyAlignment="1" applyProtection="1">
      <alignment horizontal="center" vertical="center" shrinkToFit="1"/>
      <protection locked="0"/>
    </xf>
    <xf numFmtId="164" fontId="18" fillId="0" borderId="0" xfId="0" applyFont="1" applyFill="1" applyBorder="1" applyAlignment="1" applyProtection="1">
      <alignment shrinkToFit="1"/>
      <protection/>
    </xf>
    <xf numFmtId="164" fontId="20" fillId="11" borderId="35" xfId="0" applyFont="1" applyFill="1" applyBorder="1" applyAlignment="1" applyProtection="1">
      <alignment horizontal="center" vertical="center" wrapText="1" shrinkToFit="1"/>
      <protection hidden="1"/>
    </xf>
    <xf numFmtId="164" fontId="20" fillId="11" borderId="36" xfId="0" applyFont="1" applyFill="1" applyBorder="1" applyAlignment="1" applyProtection="1">
      <alignment horizontal="right" vertical="center"/>
      <protection hidden="1"/>
    </xf>
    <xf numFmtId="165" fontId="20" fillId="11" borderId="20" xfId="0" applyNumberFormat="1" applyFont="1" applyFill="1" applyBorder="1" applyAlignment="1" applyProtection="1">
      <alignment horizontal="center" vertical="center"/>
      <protection hidden="1"/>
    </xf>
    <xf numFmtId="164" fontId="20" fillId="11" borderId="10" xfId="0" applyFont="1" applyFill="1" applyBorder="1" applyAlignment="1" applyProtection="1">
      <alignment vertical="center"/>
      <protection hidden="1"/>
    </xf>
    <xf numFmtId="164" fontId="20" fillId="11" borderId="11" xfId="0" applyFont="1" applyFill="1" applyBorder="1" applyAlignment="1" applyProtection="1">
      <alignment vertical="center"/>
      <protection hidden="1"/>
    </xf>
    <xf numFmtId="164" fontId="20" fillId="11" borderId="12" xfId="0" applyFont="1" applyFill="1" applyBorder="1" applyAlignment="1" applyProtection="1">
      <alignment horizontal="right" vertical="center"/>
      <protection hidden="1"/>
    </xf>
    <xf numFmtId="165" fontId="29" fillId="0" borderId="12" xfId="0" applyNumberFormat="1" applyFont="1" applyFill="1" applyBorder="1" applyAlignment="1" applyProtection="1">
      <alignment horizontal="center" vertical="center" shrinkToFit="1"/>
      <protection hidden="1"/>
    </xf>
    <xf numFmtId="164" fontId="0" fillId="11" borderId="28" xfId="0" applyFill="1" applyBorder="1" applyAlignment="1">
      <alignment horizontal="center" vertical="center"/>
    </xf>
    <xf numFmtId="164" fontId="19" fillId="4" borderId="37" xfId="0" applyFont="1" applyFill="1" applyBorder="1" applyAlignment="1" applyProtection="1">
      <alignment horizontal="left" vertical="center"/>
      <protection hidden="1"/>
    </xf>
    <xf numFmtId="164" fontId="19" fillId="16" borderId="28" xfId="0" applyFont="1" applyFill="1" applyBorder="1" applyAlignment="1" applyProtection="1">
      <alignment horizontal="right" vertical="center"/>
      <protection hidden="1"/>
    </xf>
    <xf numFmtId="164" fontId="0" fillId="0" borderId="0" xfId="0" applyFont="1" applyAlignment="1" applyProtection="1">
      <alignment/>
      <protection locked="0"/>
    </xf>
    <xf numFmtId="164" fontId="20" fillId="11" borderId="36" xfId="0" applyFont="1" applyFill="1" applyBorder="1" applyAlignment="1" applyProtection="1">
      <alignment vertical="center"/>
      <protection hidden="1"/>
    </xf>
    <xf numFmtId="164" fontId="20" fillId="11" borderId="38" xfId="0" applyFont="1" applyFill="1" applyBorder="1" applyAlignment="1" applyProtection="1">
      <alignment vertical="center"/>
      <protection hidden="1"/>
    </xf>
    <xf numFmtId="164" fontId="20" fillId="11" borderId="38" xfId="0" applyFont="1" applyFill="1" applyBorder="1" applyAlignment="1" applyProtection="1">
      <alignment horizontal="right" vertical="center"/>
      <protection hidden="1"/>
    </xf>
    <xf numFmtId="164" fontId="19" fillId="19" borderId="26" xfId="0" applyFont="1" applyFill="1" applyBorder="1" applyAlignment="1" applyProtection="1">
      <alignment horizontal="center" vertical="center" shrinkToFit="1"/>
      <protection locked="0"/>
    </xf>
    <xf numFmtId="164" fontId="20" fillId="11" borderId="0" xfId="0" applyFont="1" applyFill="1" applyBorder="1" applyAlignment="1" applyProtection="1">
      <alignment horizontal="center" vertical="center"/>
      <protection hidden="1"/>
    </xf>
    <xf numFmtId="165" fontId="20" fillId="11" borderId="38" xfId="0" applyNumberFormat="1" applyFont="1" applyFill="1" applyBorder="1" applyAlignment="1" applyProtection="1">
      <alignment horizontal="center" vertical="center"/>
      <protection hidden="1"/>
    </xf>
    <xf numFmtId="165" fontId="30" fillId="11" borderId="39" xfId="0" applyNumberFormat="1" applyFont="1" applyFill="1" applyBorder="1" applyAlignment="1" applyProtection="1">
      <alignment horizontal="center" vertical="center"/>
      <protection hidden="1"/>
    </xf>
    <xf numFmtId="165" fontId="19" fillId="0" borderId="39" xfId="0" applyNumberFormat="1" applyFont="1" applyFill="1" applyBorder="1" applyAlignment="1" applyProtection="1">
      <alignment horizontal="right" vertical="center" shrinkToFit="1"/>
      <protection hidden="1"/>
    </xf>
    <xf numFmtId="164" fontId="0" fillId="11" borderId="40" xfId="0" applyFill="1" applyBorder="1" applyAlignment="1">
      <alignment horizontal="center" vertical="center"/>
    </xf>
    <xf numFmtId="164" fontId="19" fillId="16" borderId="40" xfId="0" applyFont="1" applyFill="1" applyBorder="1" applyAlignment="1" applyProtection="1">
      <alignment horizontal="right" vertical="center"/>
      <protection hidden="1"/>
    </xf>
    <xf numFmtId="164" fontId="19" fillId="0" borderId="41" xfId="0" applyFont="1" applyFill="1" applyBorder="1" applyAlignment="1" applyProtection="1">
      <alignment horizontal="center" vertical="center"/>
      <protection locked="0"/>
    </xf>
    <xf numFmtId="164" fontId="20" fillId="11" borderId="30" xfId="0" applyFont="1" applyFill="1" applyBorder="1" applyAlignment="1" applyProtection="1">
      <alignment vertical="center"/>
      <protection hidden="1"/>
    </xf>
    <xf numFmtId="164" fontId="20" fillId="11" borderId="42" xfId="0" applyFont="1" applyFill="1" applyBorder="1" applyAlignment="1" applyProtection="1">
      <alignment vertical="center"/>
      <protection hidden="1"/>
    </xf>
    <xf numFmtId="164" fontId="20" fillId="11" borderId="42" xfId="0" applyFont="1" applyFill="1" applyBorder="1" applyAlignment="1" applyProtection="1">
      <alignment horizontal="right" vertical="center"/>
      <protection hidden="1"/>
    </xf>
    <xf numFmtId="164" fontId="19" fillId="19" borderId="31" xfId="0" applyFont="1" applyFill="1" applyBorder="1" applyAlignment="1" applyProtection="1">
      <alignment horizontal="center" vertical="center" shrinkToFit="1"/>
      <protection locked="0"/>
    </xf>
    <xf numFmtId="164" fontId="20" fillId="11" borderId="42" xfId="0" applyFont="1" applyFill="1" applyBorder="1" applyAlignment="1" applyProtection="1">
      <alignment horizontal="center" vertical="center"/>
      <protection hidden="1"/>
    </xf>
    <xf numFmtId="165" fontId="20" fillId="11" borderId="42" xfId="0" applyNumberFormat="1" applyFont="1" applyFill="1" applyBorder="1" applyAlignment="1" applyProtection="1">
      <alignment horizontal="center" vertical="center"/>
      <protection hidden="1"/>
    </xf>
    <xf numFmtId="164" fontId="30" fillId="11" borderId="43" xfId="0" applyFont="1" applyFill="1" applyBorder="1" applyAlignment="1" applyProtection="1">
      <alignment horizontal="center" vertical="center"/>
      <protection hidden="1"/>
    </xf>
    <xf numFmtId="165" fontId="19" fillId="0" borderId="43" xfId="0" applyNumberFormat="1" applyFont="1" applyFill="1" applyBorder="1" applyAlignment="1" applyProtection="1">
      <alignment horizontal="right" vertical="center" shrinkToFit="1"/>
      <protection hidden="1"/>
    </xf>
    <xf numFmtId="164" fontId="19" fillId="0" borderId="41" xfId="0" applyFont="1" applyFill="1" applyBorder="1" applyAlignment="1" applyProtection="1">
      <alignment horizontal="center" vertical="center"/>
      <protection hidden="1"/>
    </xf>
    <xf numFmtId="164" fontId="19" fillId="16" borderId="44" xfId="0" applyFont="1" applyFill="1" applyBorder="1" applyAlignment="1" applyProtection="1">
      <alignment horizontal="right" vertical="center"/>
      <protection hidden="1"/>
    </xf>
    <xf numFmtId="165" fontId="19" fillId="0" borderId="41" xfId="0" applyNumberFormat="1" applyFont="1" applyFill="1" applyBorder="1" applyAlignment="1" applyProtection="1">
      <alignment horizontal="center" vertical="center"/>
      <protection locked="0"/>
    </xf>
    <xf numFmtId="165" fontId="19" fillId="0" borderId="45" xfId="0" applyNumberFormat="1" applyFont="1" applyFill="1" applyBorder="1" applyAlignment="1" applyProtection="1">
      <alignment horizontal="center" vertical="center"/>
      <protection locked="0"/>
    </xf>
    <xf numFmtId="164" fontId="20" fillId="11" borderId="46" xfId="0" applyFont="1" applyFill="1" applyBorder="1" applyAlignment="1" applyProtection="1">
      <alignment vertical="center"/>
      <protection hidden="1"/>
    </xf>
    <xf numFmtId="164" fontId="19" fillId="19" borderId="34" xfId="0" applyFont="1" applyFill="1" applyBorder="1" applyAlignment="1" applyProtection="1">
      <alignment horizontal="center" vertical="center" shrinkToFit="1"/>
      <protection locked="0"/>
    </xf>
    <xf numFmtId="165" fontId="19" fillId="0" borderId="0" xfId="0" applyNumberFormat="1" applyFont="1" applyFill="1" applyBorder="1" applyAlignment="1" applyProtection="1">
      <alignment vertical="center"/>
      <protection locked="0"/>
    </xf>
    <xf numFmtId="164" fontId="25" fillId="8" borderId="10" xfId="0" applyFont="1" applyFill="1" applyBorder="1" applyAlignment="1" applyProtection="1">
      <alignment horizontal="right" vertical="center"/>
      <protection hidden="1"/>
    </xf>
    <xf numFmtId="167" fontId="25" fillId="8" borderId="47" xfId="0" applyNumberFormat="1" applyFont="1" applyFill="1" applyBorder="1" applyAlignment="1" applyProtection="1">
      <alignment horizontal="center" vertical="center"/>
      <protection hidden="1" locked="0"/>
    </xf>
    <xf numFmtId="164" fontId="22" fillId="11" borderId="10" xfId="0" applyFont="1" applyFill="1" applyBorder="1" applyAlignment="1" applyProtection="1">
      <alignment horizontal="left" wrapText="1"/>
      <protection hidden="1"/>
    </xf>
    <xf numFmtId="164" fontId="19" fillId="4" borderId="48" xfId="0" applyFont="1" applyFill="1" applyBorder="1" applyAlignment="1" applyProtection="1">
      <alignment horizontal="left" vertical="center"/>
      <protection hidden="1"/>
    </xf>
    <xf numFmtId="164" fontId="20" fillId="11" borderId="49" xfId="0" applyFont="1" applyFill="1" applyBorder="1" applyAlignment="1" applyProtection="1">
      <alignment horizontal="right" vertical="center"/>
      <protection hidden="1"/>
    </xf>
    <xf numFmtId="164" fontId="19" fillId="0" borderId="47" xfId="0" applyFont="1" applyFill="1" applyBorder="1" applyAlignment="1" applyProtection="1">
      <alignment horizontal="center" vertical="center"/>
      <protection locked="0"/>
    </xf>
    <xf numFmtId="165" fontId="25" fillId="0" borderId="12" xfId="0" applyNumberFormat="1" applyFont="1" applyFill="1" applyBorder="1" applyAlignment="1" applyProtection="1">
      <alignment horizontal="center" vertical="center" shrinkToFit="1"/>
      <protection hidden="1"/>
    </xf>
    <xf numFmtId="164" fontId="19" fillId="11" borderId="50" xfId="0" applyFont="1" applyFill="1" applyBorder="1" applyAlignment="1" applyProtection="1">
      <alignment/>
      <protection hidden="1"/>
    </xf>
    <xf numFmtId="164" fontId="0" fillId="11" borderId="51" xfId="0" applyFill="1" applyBorder="1" applyAlignment="1" applyProtection="1">
      <alignment/>
      <protection/>
    </xf>
    <xf numFmtId="164" fontId="0" fillId="11" borderId="51" xfId="0" applyFont="1" applyFill="1" applyBorder="1" applyAlignment="1" applyProtection="1">
      <alignment horizontal="center" shrinkToFit="1"/>
      <protection/>
    </xf>
    <xf numFmtId="164" fontId="0" fillId="11" borderId="51" xfId="0" applyFill="1" applyBorder="1" applyAlignment="1" applyProtection="1">
      <alignment horizontal="center"/>
      <protection/>
    </xf>
    <xf numFmtId="164" fontId="0" fillId="11" borderId="51" xfId="0" applyNumberFormat="1" applyFill="1" applyBorder="1" applyAlignment="1" applyProtection="1">
      <alignment/>
      <protection/>
    </xf>
    <xf numFmtId="164" fontId="19" fillId="11" borderId="52" xfId="0" applyNumberFormat="1" applyFont="1" applyFill="1" applyBorder="1" applyAlignment="1" applyProtection="1">
      <alignment vertical="center"/>
      <protection/>
    </xf>
    <xf numFmtId="164" fontId="0" fillId="11" borderId="14" xfId="0" applyFill="1" applyBorder="1" applyAlignment="1" applyProtection="1">
      <alignment/>
      <protection/>
    </xf>
    <xf numFmtId="164" fontId="0" fillId="11" borderId="15" xfId="0" applyFill="1" applyBorder="1" applyAlignment="1" applyProtection="1">
      <alignment/>
      <protection/>
    </xf>
    <xf numFmtId="164" fontId="0" fillId="11" borderId="15" xfId="0" applyFont="1" applyFill="1" applyBorder="1" applyAlignment="1" applyProtection="1">
      <alignment horizontal="center" shrinkToFit="1"/>
      <protection/>
    </xf>
    <xf numFmtId="164" fontId="0" fillId="11" borderId="15" xfId="0" applyFill="1" applyBorder="1" applyAlignment="1" applyProtection="1">
      <alignment horizontal="center"/>
      <protection/>
    </xf>
    <xf numFmtId="164" fontId="0" fillId="11" borderId="15" xfId="0" applyNumberFormat="1" applyFill="1" applyBorder="1" applyAlignment="1" applyProtection="1">
      <alignment/>
      <protection/>
    </xf>
    <xf numFmtId="164" fontId="19" fillId="11" borderId="16" xfId="0" applyNumberFormat="1" applyFont="1" applyFill="1" applyBorder="1" applyAlignment="1" applyProtection="1">
      <alignment vertical="center"/>
      <protection/>
    </xf>
    <xf numFmtId="164" fontId="18" fillId="0" borderId="32" xfId="0" applyFont="1" applyBorder="1" applyAlignment="1" applyProtection="1">
      <alignment vertical="center" shrinkToFit="1"/>
      <protection/>
    </xf>
    <xf numFmtId="164" fontId="18" fillId="0" borderId="32" xfId="0" applyFont="1" applyBorder="1" applyAlignment="1" applyProtection="1">
      <alignment horizontal="center" vertical="center"/>
      <protection/>
    </xf>
    <xf numFmtId="165" fontId="18" fillId="0" borderId="32" xfId="0" applyNumberFormat="1" applyFont="1" applyBorder="1" applyAlignment="1" applyProtection="1">
      <alignment horizontal="center" vertical="center"/>
      <protection/>
    </xf>
    <xf numFmtId="164" fontId="0" fillId="11" borderId="17" xfId="0" applyFill="1" applyBorder="1" applyAlignment="1" applyProtection="1">
      <alignment/>
      <protection/>
    </xf>
    <xf numFmtId="164" fontId="20" fillId="11" borderId="35" xfId="0" applyFont="1" applyFill="1" applyBorder="1" applyAlignment="1" applyProtection="1">
      <alignment horizontal="center" vertical="center"/>
      <protection/>
    </xf>
    <xf numFmtId="165" fontId="19" fillId="0" borderId="26" xfId="0" applyNumberFormat="1" applyFont="1" applyFill="1" applyBorder="1" applyAlignment="1" applyProtection="1">
      <alignment horizontal="center" vertical="center" shrinkToFit="1"/>
      <protection locked="0"/>
    </xf>
    <xf numFmtId="164" fontId="19" fillId="19" borderId="19" xfId="0" applyFont="1" applyFill="1" applyBorder="1" applyAlignment="1" applyProtection="1">
      <alignment horizontal="center" vertical="center" shrinkToFit="1"/>
      <protection locked="0"/>
    </xf>
    <xf numFmtId="164" fontId="20" fillId="11" borderId="15" xfId="0" applyFont="1" applyFill="1" applyBorder="1" applyAlignment="1" applyProtection="1">
      <alignment horizontal="center" vertical="center"/>
      <protection hidden="1"/>
    </xf>
    <xf numFmtId="165" fontId="30" fillId="11" borderId="53" xfId="0" applyNumberFormat="1" applyFont="1" applyFill="1" applyBorder="1" applyAlignment="1" applyProtection="1">
      <alignment horizontal="center" vertical="center"/>
      <protection hidden="1"/>
    </xf>
    <xf numFmtId="165" fontId="19" fillId="0" borderId="16" xfId="0" applyNumberFormat="1" applyFont="1" applyFill="1" applyBorder="1" applyAlignment="1" applyProtection="1">
      <alignment horizontal="right" vertical="center" shrinkToFit="1"/>
      <protection hidden="1"/>
    </xf>
    <xf numFmtId="164" fontId="0" fillId="11" borderId="22" xfId="0" applyFill="1" applyBorder="1" applyAlignment="1" applyProtection="1">
      <alignment/>
      <protection/>
    </xf>
    <xf numFmtId="165" fontId="19" fillId="0" borderId="31" xfId="0" applyNumberFormat="1" applyFont="1" applyFill="1" applyBorder="1" applyAlignment="1" applyProtection="1">
      <alignment horizontal="center" vertical="center" shrinkToFit="1"/>
      <protection locked="0"/>
    </xf>
    <xf numFmtId="165" fontId="19" fillId="0" borderId="54" xfId="0" applyNumberFormat="1" applyFont="1" applyFill="1" applyBorder="1" applyAlignment="1" applyProtection="1">
      <alignment horizontal="right" vertical="center" shrinkToFit="1"/>
      <protection hidden="1"/>
    </xf>
    <xf numFmtId="164" fontId="20" fillId="11" borderId="23" xfId="0" applyFont="1" applyFill="1" applyBorder="1" applyAlignment="1" applyProtection="1">
      <alignment vertical="center"/>
      <protection hidden="1"/>
    </xf>
    <xf numFmtId="164" fontId="20" fillId="11" borderId="23" xfId="0" applyFont="1" applyFill="1" applyBorder="1" applyAlignment="1" applyProtection="1">
      <alignment horizontal="right" vertical="center"/>
      <protection hidden="1"/>
    </xf>
    <xf numFmtId="164" fontId="20" fillId="11" borderId="33" xfId="0" applyFont="1" applyFill="1" applyBorder="1" applyAlignment="1" applyProtection="1">
      <alignment vertical="center"/>
      <protection hidden="1"/>
    </xf>
    <xf numFmtId="164" fontId="30" fillId="11" borderId="23" xfId="0" applyFont="1" applyFill="1" applyBorder="1" applyAlignment="1" applyProtection="1">
      <alignment horizontal="right" vertical="center"/>
      <protection hidden="1"/>
    </xf>
    <xf numFmtId="164" fontId="20" fillId="11" borderId="23" xfId="0" applyFont="1" applyFill="1" applyBorder="1" applyAlignment="1" applyProtection="1">
      <alignment horizontal="center" vertical="center"/>
      <protection hidden="1"/>
    </xf>
    <xf numFmtId="165" fontId="20" fillId="11" borderId="23" xfId="0" applyNumberFormat="1" applyFont="1" applyFill="1" applyBorder="1" applyAlignment="1" applyProtection="1">
      <alignment horizontal="center" vertical="center"/>
      <protection hidden="1"/>
    </xf>
    <xf numFmtId="164" fontId="30" fillId="11" borderId="55" xfId="0" applyFont="1" applyFill="1" applyBorder="1" applyAlignment="1" applyProtection="1">
      <alignment horizontal="center" vertical="center"/>
      <protection hidden="1"/>
    </xf>
    <xf numFmtId="164" fontId="20" fillId="11" borderId="56" xfId="0" applyFont="1" applyFill="1" applyBorder="1" applyAlignment="1" applyProtection="1">
      <alignment vertical="center"/>
      <protection hidden="1"/>
    </xf>
    <xf numFmtId="164" fontId="20" fillId="11" borderId="46" xfId="0" applyFont="1" applyFill="1" applyBorder="1" applyAlignment="1" applyProtection="1">
      <alignment horizontal="right" vertical="center"/>
      <protection hidden="1"/>
    </xf>
    <xf numFmtId="164" fontId="19" fillId="19" borderId="57" xfId="0" applyFont="1" applyFill="1" applyBorder="1" applyAlignment="1" applyProtection="1">
      <alignment horizontal="center" vertical="center" shrinkToFit="1"/>
      <protection locked="0"/>
    </xf>
    <xf numFmtId="164" fontId="20" fillId="11" borderId="46" xfId="0" applyFont="1" applyFill="1" applyBorder="1" applyAlignment="1" applyProtection="1">
      <alignment horizontal="center" vertical="center"/>
      <protection hidden="1"/>
    </xf>
    <xf numFmtId="165" fontId="20" fillId="11" borderId="46" xfId="0" applyNumberFormat="1" applyFont="1" applyFill="1" applyBorder="1" applyAlignment="1" applyProtection="1">
      <alignment horizontal="center" vertical="center"/>
      <protection hidden="1"/>
    </xf>
    <xf numFmtId="164" fontId="30" fillId="11" borderId="58" xfId="0" applyFont="1" applyFill="1" applyBorder="1" applyAlignment="1" applyProtection="1">
      <alignment horizontal="center" vertical="center"/>
      <protection hidden="1"/>
    </xf>
    <xf numFmtId="165" fontId="19" fillId="0" borderId="52" xfId="0" applyNumberFormat="1" applyFont="1" applyFill="1" applyBorder="1" applyAlignment="1" applyProtection="1">
      <alignment horizontal="right" vertical="center" shrinkToFit="1"/>
      <protection hidden="1"/>
    </xf>
    <xf numFmtId="164" fontId="19" fillId="0" borderId="56" xfId="0" applyFont="1" applyFill="1" applyBorder="1" applyAlignment="1" applyProtection="1">
      <alignment horizontal="center" vertical="center"/>
      <protection locked="0"/>
    </xf>
    <xf numFmtId="165" fontId="19" fillId="0" borderId="57" xfId="0" applyNumberFormat="1" applyFont="1" applyFill="1" applyBorder="1" applyAlignment="1" applyProtection="1">
      <alignment horizontal="center" vertical="center" shrinkToFit="1"/>
      <protection locked="0"/>
    </xf>
    <xf numFmtId="164" fontId="19" fillId="0" borderId="57" xfId="0" applyFont="1" applyFill="1" applyBorder="1" applyAlignment="1" applyProtection="1">
      <alignment horizontal="center" vertical="center" shrinkToFit="1"/>
      <protection hidden="1"/>
    </xf>
    <xf numFmtId="164" fontId="25" fillId="0" borderId="57" xfId="0" applyFont="1" applyFill="1" applyBorder="1" applyAlignment="1" applyProtection="1">
      <alignment horizontal="center" vertical="center"/>
      <protection hidden="1"/>
    </xf>
    <xf numFmtId="164" fontId="26" fillId="0" borderId="57" xfId="0" applyFont="1" applyFill="1" applyBorder="1" applyAlignment="1" applyProtection="1">
      <alignment horizontal="center" vertical="center" wrapText="1" shrinkToFit="1"/>
      <protection hidden="1"/>
    </xf>
    <xf numFmtId="164" fontId="26" fillId="16" borderId="57" xfId="0" applyFont="1" applyFill="1" applyBorder="1" applyAlignment="1" applyProtection="1">
      <alignment horizontal="center" vertical="center" wrapText="1"/>
      <protection locked="0"/>
    </xf>
    <xf numFmtId="164" fontId="0" fillId="11" borderId="50" xfId="0" applyFill="1" applyBorder="1" applyAlignment="1" applyProtection="1">
      <alignment/>
      <protection/>
    </xf>
    <xf numFmtId="164" fontId="0" fillId="11" borderId="52" xfId="0" applyFill="1" applyBorder="1" applyAlignment="1" applyProtection="1">
      <alignment/>
      <protection/>
    </xf>
    <xf numFmtId="164" fontId="31" fillId="0" borderId="0" xfId="0" applyFont="1" applyAlignment="1" applyProtection="1">
      <alignment/>
      <protection/>
    </xf>
    <xf numFmtId="164" fontId="19" fillId="0" borderId="0" xfId="0" applyFont="1" applyAlignment="1" applyProtection="1">
      <alignment/>
      <protection/>
    </xf>
    <xf numFmtId="165" fontId="18" fillId="0" borderId="0" xfId="0" applyNumberFormat="1" applyFont="1" applyAlignment="1" applyProtection="1">
      <alignment horizontal="right" vertical="center"/>
      <protection/>
    </xf>
    <xf numFmtId="165" fontId="18" fillId="0" borderId="0" xfId="0" applyNumberFormat="1" applyFont="1" applyAlignment="1" applyProtection="1">
      <alignment vertical="center"/>
      <protection/>
    </xf>
    <xf numFmtId="164" fontId="0" fillId="0" borderId="0" xfId="0" applyFill="1" applyAlignment="1" applyProtection="1">
      <alignment/>
      <protection/>
    </xf>
    <xf numFmtId="164" fontId="18" fillId="0" borderId="37" xfId="0" applyFont="1" applyFill="1" applyBorder="1" applyAlignment="1" applyProtection="1">
      <alignment vertical="center" shrinkToFit="1"/>
      <protection/>
    </xf>
    <xf numFmtId="165" fontId="24" fillId="10" borderId="59" xfId="0" applyNumberFormat="1" applyFont="1" applyFill="1" applyBorder="1" applyAlignment="1" applyProtection="1">
      <alignment horizontal="center" vertical="center" textRotation="180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vertical="center" wrapText="1"/>
      <protection/>
    </xf>
    <xf numFmtId="165" fontId="18" fillId="0" borderId="0" xfId="0" applyNumberFormat="1" applyFont="1" applyFill="1" applyAlignment="1" applyProtection="1">
      <alignment horizontal="center" vertical="center"/>
      <protection/>
    </xf>
    <xf numFmtId="164" fontId="18" fillId="0" borderId="60" xfId="0" applyFont="1" applyBorder="1" applyAlignment="1" applyProtection="1">
      <alignment vertical="center" shrinkToFit="1"/>
      <protection/>
    </xf>
    <xf numFmtId="164" fontId="18" fillId="0" borderId="23" xfId="0" applyFont="1" applyBorder="1" applyAlignment="1" applyProtection="1">
      <alignment vertical="center" wrapText="1"/>
      <protection/>
    </xf>
    <xf numFmtId="165" fontId="18" fillId="0" borderId="59" xfId="0" applyNumberFormat="1" applyFont="1" applyBorder="1" applyAlignment="1" applyProtection="1">
      <alignment horizontal="center" vertical="center"/>
      <protection/>
    </xf>
    <xf numFmtId="164" fontId="18" fillId="0" borderId="37" xfId="0" applyFont="1" applyBorder="1" applyAlignment="1" applyProtection="1">
      <alignment vertical="center" shrinkToFit="1"/>
      <protection/>
    </xf>
    <xf numFmtId="165" fontId="18" fillId="0" borderId="13" xfId="0" applyNumberFormat="1" applyFont="1" applyFill="1" applyBorder="1" applyAlignment="1" applyProtection="1">
      <alignment horizontal="center" vertical="center"/>
      <protection/>
    </xf>
    <xf numFmtId="164" fontId="18" fillId="0" borderId="27" xfId="0" applyFont="1" applyFill="1" applyBorder="1" applyAlignment="1" applyProtection="1">
      <alignment vertical="center" shrinkToFit="1"/>
      <protection/>
    </xf>
    <xf numFmtId="164" fontId="18" fillId="0" borderId="61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dxfs count="7">
    <dxf>
      <font>
        <b/>
        <i val="0"/>
        <strike val="0"/>
        <color rgb="FF000000"/>
      </font>
      <fill>
        <patternFill patternType="solid">
          <fgColor rgb="FF3FCF3F"/>
          <bgColor rgb="FF99CC00"/>
        </patternFill>
      </fill>
      <border/>
    </dxf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color rgb="FFFFFFFF"/>
      </font>
      <border/>
    </dxf>
    <dxf>
      <fill>
        <patternFill patternType="solid">
          <fgColor rgb="FFADADAD"/>
          <bgColor rgb="FFB9B9B9"/>
        </patternFill>
      </fill>
      <border/>
    </dxf>
    <dxf>
      <font>
        <b val="0"/>
        <color rgb="FF800000"/>
      </font>
      <border/>
    </dxf>
    <dxf>
      <fill>
        <patternFill patternType="solid">
          <fgColor rgb="FFEAEAEA"/>
          <bgColor rgb="FFD5D5D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200"/>
      <rgbColor rgb="00000080"/>
      <rgbColor rgb="00808000"/>
      <rgbColor rgb="00800080"/>
      <rgbColor rgb="00008080"/>
      <rgbColor rgb="00B9B9B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EBFFFF"/>
      <rgbColor rgb="00EAEAE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FCF3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1790700</xdr:colOff>
      <xdr:row>1</xdr:row>
      <xdr:rowOff>1114425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864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1362075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52550" cy="172402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1076325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481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142875</xdr:colOff>
      <xdr:row>1</xdr:row>
      <xdr:rowOff>9525</xdr:rowOff>
    </xdr:from>
    <xdr:to>
      <xdr:col>30</xdr:col>
      <xdr:colOff>66675</xdr:colOff>
      <xdr:row>1</xdr:row>
      <xdr:rowOff>1114425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14300"/>
          <a:ext cx="10763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T217"/>
  <sheetViews>
    <sheetView tabSelected="1" workbookViewId="0" topLeftCell="A7">
      <selection activeCell="L7" sqref="L7"/>
    </sheetView>
  </sheetViews>
  <sheetFormatPr defaultColWidth="1.1484375" defaultRowHeight="12.75" customHeight="1" zeroHeight="1"/>
  <cols>
    <col min="1" max="1" width="1.7109375" style="1" customWidth="1"/>
    <col min="2" max="2" width="1.8515625" style="1" customWidth="1"/>
    <col min="3" max="3" width="3.140625" style="1" customWidth="1"/>
    <col min="4" max="4" width="18.7109375" style="1" customWidth="1"/>
    <col min="5" max="5" width="19.7109375" style="2" customWidth="1"/>
    <col min="6" max="6" width="3.140625" style="1" customWidth="1"/>
    <col min="7" max="9" width="3.00390625" style="1" customWidth="1"/>
    <col min="10" max="10" width="34.8515625" style="1" customWidth="1"/>
    <col min="11" max="11" width="18.8515625" style="1" customWidth="1"/>
    <col min="12" max="13" width="3.00390625" style="1" customWidth="1"/>
    <col min="14" max="14" width="2.00390625" style="1" customWidth="1"/>
    <col min="15" max="15" width="2.421875" style="3" customWidth="1"/>
    <col min="16" max="16" width="3.00390625" style="4" customWidth="1"/>
    <col min="17" max="17" width="3.7109375" style="4" customWidth="1"/>
    <col min="18" max="19" width="2.140625" style="4" customWidth="1"/>
    <col min="20" max="21" width="2.140625" style="1" customWidth="1"/>
    <col min="22" max="27" width="2.8515625" style="1" customWidth="1"/>
    <col min="28" max="28" width="3.7109375" style="1" customWidth="1"/>
    <col min="29" max="29" width="6.8515625" style="1" customWidth="1"/>
    <col min="30" max="30" width="6.7109375" style="1" customWidth="1"/>
    <col min="31" max="32" width="1.7109375" style="1" customWidth="1"/>
    <col min="33" max="39" width="0" style="1" hidden="1" customWidth="1"/>
    <col min="40" max="40" width="0" style="5" hidden="1" customWidth="1"/>
    <col min="41" max="41" width="0" style="6" hidden="1" customWidth="1"/>
    <col min="42" max="45" width="0" style="7" hidden="1" customWidth="1"/>
    <col min="46" max="46" width="0" style="8" hidden="1" customWidth="1"/>
    <col min="47" max="50" width="0" style="9" hidden="1" customWidth="1"/>
    <col min="51" max="51" width="0" style="10" hidden="1" customWidth="1"/>
    <col min="52" max="52" width="0" style="11" hidden="1" customWidth="1"/>
    <col min="53" max="53" width="0" style="12" hidden="1" customWidth="1"/>
    <col min="54" max="55" width="0" style="10" hidden="1" customWidth="1"/>
    <col min="56" max="56" width="0" style="11" hidden="1" customWidth="1"/>
    <col min="57" max="57" width="0" style="10" hidden="1" customWidth="1"/>
    <col min="58" max="58" width="0" style="13" hidden="1" customWidth="1"/>
    <col min="59" max="59" width="0" style="10" hidden="1" customWidth="1"/>
    <col min="60" max="60" width="0" style="11" hidden="1" customWidth="1"/>
    <col min="61" max="62" width="0" style="14" hidden="1" customWidth="1"/>
    <col min="63" max="64" width="0" style="15" hidden="1" customWidth="1"/>
    <col min="65" max="65" width="0" style="14" hidden="1" customWidth="1"/>
    <col min="66" max="66" width="0" style="15" hidden="1" customWidth="1"/>
    <col min="67" max="70" width="0" style="14" hidden="1" customWidth="1"/>
    <col min="71" max="71" width="0" style="1" hidden="1" customWidth="1"/>
    <col min="72" max="72" width="0" style="14" hidden="1" customWidth="1"/>
    <col min="73" max="73" width="0" style="1" hidden="1" customWidth="1"/>
    <col min="74" max="74" width="0" style="15" hidden="1" customWidth="1"/>
    <col min="75" max="80" width="0" style="1" hidden="1" customWidth="1"/>
    <col min="81" max="82" width="0" style="14" hidden="1" customWidth="1"/>
    <col min="83" max="83" width="0" style="1" hidden="1" customWidth="1"/>
    <col min="84" max="84" width="0" style="14" hidden="1" customWidth="1"/>
    <col min="85" max="85" width="0" style="1" hidden="1" customWidth="1"/>
    <col min="86" max="86" width="0" style="5" hidden="1" customWidth="1"/>
    <col min="87" max="87" width="0" style="6" hidden="1" customWidth="1"/>
    <col min="88" max="91" width="0" style="7" hidden="1" customWidth="1"/>
    <col min="92" max="92" width="0" style="8" hidden="1" customWidth="1"/>
    <col min="93" max="93" width="0" style="9" hidden="1" customWidth="1"/>
    <col min="94" max="94" width="0" style="10" hidden="1" customWidth="1"/>
    <col min="95" max="16384" width="0" style="1" hidden="1" customWidth="1"/>
  </cols>
  <sheetData>
    <row r="1" ht="8.25" customHeight="1"/>
    <row r="2" spans="2:86" ht="89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G2" s="19"/>
      <c r="AN2" s="20"/>
      <c r="CH2" s="20"/>
    </row>
    <row r="3" spans="2:124" ht="8.25" customHeight="1">
      <c r="B3" s="21"/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O3" s="24"/>
      <c r="P3" s="25"/>
      <c r="Q3" s="25"/>
      <c r="R3" s="25"/>
      <c r="S3" s="25"/>
      <c r="T3" s="22"/>
      <c r="U3" s="22"/>
      <c r="V3" s="22"/>
      <c r="W3" s="22"/>
      <c r="X3" s="22"/>
      <c r="Y3" s="22"/>
      <c r="Z3" s="22"/>
      <c r="AA3" s="22"/>
      <c r="AB3" s="22"/>
      <c r="AC3" s="22"/>
      <c r="AD3" s="26"/>
      <c r="AE3" s="27"/>
      <c r="AF3" s="28"/>
      <c r="AG3" s="19"/>
      <c r="AH3" s="19"/>
      <c r="AI3" s="19"/>
      <c r="AJ3" s="19"/>
      <c r="AK3" s="19"/>
      <c r="AL3" s="19"/>
      <c r="AM3" s="19"/>
      <c r="AN3" s="29">
        <v>1</v>
      </c>
      <c r="AO3" s="30"/>
      <c r="AP3" s="31"/>
      <c r="AQ3" s="31"/>
      <c r="AR3" s="31"/>
      <c r="AS3" s="31"/>
      <c r="AT3" s="32"/>
      <c r="AU3" s="33"/>
      <c r="AV3" s="33"/>
      <c r="AW3" s="33"/>
      <c r="AX3" s="33"/>
      <c r="AY3" s="33"/>
      <c r="AZ3" s="34"/>
      <c r="BA3" s="35"/>
      <c r="BB3" s="33"/>
      <c r="BC3" s="33"/>
      <c r="BD3" s="36">
        <v>1</v>
      </c>
      <c r="BE3" s="37"/>
      <c r="BF3" s="38"/>
      <c r="BG3" s="33"/>
      <c r="BH3" s="34"/>
      <c r="BI3" s="39"/>
      <c r="BJ3" s="39"/>
      <c r="BK3" s="40"/>
      <c r="BL3" s="40"/>
      <c r="BM3" s="39"/>
      <c r="BN3" s="40"/>
      <c r="BO3" s="39"/>
      <c r="BP3" s="39"/>
      <c r="BQ3" s="39"/>
      <c r="BR3" s="39"/>
      <c r="BS3" s="40"/>
      <c r="BT3" s="39"/>
      <c r="BU3" s="40"/>
      <c r="BV3" s="40"/>
      <c r="BW3" s="40"/>
      <c r="BX3" s="40"/>
      <c r="BY3" s="40"/>
      <c r="BZ3" s="40"/>
      <c r="CA3" s="40"/>
      <c r="CB3" s="40"/>
      <c r="CC3" s="39"/>
      <c r="CD3" s="39"/>
      <c r="CE3" s="40"/>
      <c r="CF3" s="39"/>
      <c r="CG3" s="40"/>
      <c r="CH3" s="29">
        <v>1</v>
      </c>
      <c r="CI3" s="30"/>
      <c r="CJ3" s="31"/>
      <c r="CK3" s="31"/>
      <c r="CL3" s="31"/>
      <c r="CM3" s="31"/>
      <c r="CN3" s="32"/>
      <c r="CO3" s="33"/>
      <c r="CP3" s="33"/>
      <c r="CQ3" s="40"/>
      <c r="CR3" s="36">
        <v>1</v>
      </c>
      <c r="CS3" s="37"/>
      <c r="CT3" s="38"/>
      <c r="CU3" s="33"/>
      <c r="CV3" s="34"/>
      <c r="CW3" s="39"/>
      <c r="CX3" s="39"/>
      <c r="CY3" s="40"/>
      <c r="CZ3" s="40"/>
      <c r="DA3" s="39"/>
      <c r="DB3" s="40"/>
      <c r="DC3" s="39"/>
      <c r="DD3" s="39"/>
      <c r="DE3" s="39"/>
      <c r="DF3" s="39"/>
      <c r="DG3" s="40"/>
      <c r="DH3" s="39"/>
      <c r="DI3" s="40"/>
      <c r="DJ3" s="40"/>
      <c r="DK3" s="40"/>
      <c r="DL3" s="40"/>
      <c r="DM3" s="40"/>
      <c r="DN3" s="40"/>
      <c r="DO3" s="40"/>
      <c r="DP3" s="40"/>
      <c r="DQ3" s="39"/>
      <c r="DR3" s="39"/>
      <c r="DS3" s="40"/>
      <c r="DT3" s="39"/>
    </row>
    <row r="4" spans="2:124" ht="18" customHeight="1">
      <c r="B4" s="41"/>
      <c r="C4" s="42" t="s">
        <v>0</v>
      </c>
      <c r="D4" s="43" t="s">
        <v>1</v>
      </c>
      <c r="E4" s="44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10</v>
      </c>
      <c r="P4" s="44" t="s">
        <v>12</v>
      </c>
      <c r="Q4" s="44" t="s">
        <v>13</v>
      </c>
      <c r="R4" s="45" t="s">
        <v>3</v>
      </c>
      <c r="S4" s="45" t="s">
        <v>4</v>
      </c>
      <c r="T4" s="45" t="s">
        <v>5</v>
      </c>
      <c r="U4" s="45" t="s">
        <v>6</v>
      </c>
      <c r="V4" s="46" t="s">
        <v>14</v>
      </c>
      <c r="W4" s="46" t="s">
        <v>15</v>
      </c>
      <c r="X4" s="46" t="s">
        <v>16</v>
      </c>
      <c r="Y4" s="46" t="s">
        <v>17</v>
      </c>
      <c r="Z4" s="46" t="s">
        <v>18</v>
      </c>
      <c r="AA4" s="46" t="s">
        <v>19</v>
      </c>
      <c r="AB4" s="47" t="s">
        <v>20</v>
      </c>
      <c r="AC4" s="48" t="s">
        <v>21</v>
      </c>
      <c r="AD4" s="49" t="s">
        <v>22</v>
      </c>
      <c r="AE4" s="50"/>
      <c r="AF4" s="28"/>
      <c r="AG4" s="19"/>
      <c r="AH4" s="51" t="s">
        <v>3</v>
      </c>
      <c r="AI4" s="51" t="s">
        <v>4</v>
      </c>
      <c r="AJ4" s="51" t="s">
        <v>5</v>
      </c>
      <c r="AK4" s="51" t="s">
        <v>23</v>
      </c>
      <c r="AL4" s="52"/>
      <c r="AM4" s="52"/>
      <c r="AN4" s="29">
        <v>2</v>
      </c>
      <c r="AO4" s="53" t="s">
        <v>24</v>
      </c>
      <c r="AP4" s="54">
        <v>6</v>
      </c>
      <c r="AQ4" s="54">
        <v>3</v>
      </c>
      <c r="AR4" s="54">
        <v>3</v>
      </c>
      <c r="AS4" s="54">
        <v>7</v>
      </c>
      <c r="AT4" s="55" t="s">
        <v>25</v>
      </c>
      <c r="AU4" s="56">
        <v>50000</v>
      </c>
      <c r="AV4" s="56" t="s">
        <v>26</v>
      </c>
      <c r="AW4" s="56" t="s">
        <v>27</v>
      </c>
      <c r="AX4" s="56">
        <v>16</v>
      </c>
      <c r="AY4" s="57" t="s">
        <v>28</v>
      </c>
      <c r="AZ4" s="34">
        <v>1</v>
      </c>
      <c r="BA4" s="58" t="s">
        <v>28</v>
      </c>
      <c r="BB4" s="33">
        <v>50000</v>
      </c>
      <c r="BC4" s="33"/>
      <c r="BD4" s="36">
        <f>IF(BE4="","",BD3+1)</f>
        <v>2</v>
      </c>
      <c r="BE4" s="37" t="str">
        <f>IF(BF4=0,"",BF4)</f>
        <v>Lineman Human</v>
      </c>
      <c r="BF4" s="38" t="str">
        <f>HLOOKUP(K$24,BI$4:CF$23,2,FALSE)</f>
        <v>Lineman Human</v>
      </c>
      <c r="BG4" s="33"/>
      <c r="BI4" s="58" t="s">
        <v>28</v>
      </c>
      <c r="BJ4" s="59" t="s">
        <v>29</v>
      </c>
      <c r="BK4" s="59" t="s">
        <v>30</v>
      </c>
      <c r="BL4" s="59" t="s">
        <v>31</v>
      </c>
      <c r="BM4" s="59" t="s">
        <v>32</v>
      </c>
      <c r="BN4" s="59" t="s">
        <v>33</v>
      </c>
      <c r="BO4" s="58" t="s">
        <v>34</v>
      </c>
      <c r="BP4" s="59" t="s">
        <v>35</v>
      </c>
      <c r="BQ4" s="59" t="s">
        <v>36</v>
      </c>
      <c r="BR4" s="59" t="s">
        <v>37</v>
      </c>
      <c r="BS4" s="59" t="s">
        <v>38</v>
      </c>
      <c r="BT4" s="58" t="s">
        <v>39</v>
      </c>
      <c r="BU4" s="58" t="s">
        <v>40</v>
      </c>
      <c r="BV4" s="58" t="s">
        <v>41</v>
      </c>
      <c r="BW4" s="59" t="s">
        <v>42</v>
      </c>
      <c r="BX4" s="58" t="s">
        <v>43</v>
      </c>
      <c r="BY4" s="58" t="s">
        <v>44</v>
      </c>
      <c r="BZ4" s="58" t="s">
        <v>45</v>
      </c>
      <c r="CA4" s="59" t="s">
        <v>46</v>
      </c>
      <c r="CB4" s="58" t="s">
        <v>47</v>
      </c>
      <c r="CC4" s="58" t="s">
        <v>48</v>
      </c>
      <c r="CD4" s="58" t="s">
        <v>49</v>
      </c>
      <c r="CE4" s="58" t="s">
        <v>50</v>
      </c>
      <c r="CF4" s="59" t="s">
        <v>51</v>
      </c>
      <c r="CG4" s="28"/>
      <c r="CH4" s="29">
        <v>2</v>
      </c>
      <c r="CI4" s="53" t="s">
        <v>52</v>
      </c>
      <c r="CJ4" s="54">
        <v>6</v>
      </c>
      <c r="CK4" s="54">
        <v>3</v>
      </c>
      <c r="CL4" s="54">
        <v>3</v>
      </c>
      <c r="CM4" s="54">
        <v>7</v>
      </c>
      <c r="CN4" s="55" t="s">
        <v>53</v>
      </c>
      <c r="CO4" s="56">
        <v>80000</v>
      </c>
      <c r="CP4" s="57" t="s">
        <v>28</v>
      </c>
      <c r="CQ4" s="28"/>
      <c r="CR4" s="36">
        <f aca="true" t="shared" si="0" ref="CR4:CR11">IF(CS4="","",CR3+1)</f>
        <v>2</v>
      </c>
      <c r="CS4" s="37" t="str">
        <f>IF(CT4=0,"",CT4)</f>
        <v>Lineman Human Mercenary</v>
      </c>
      <c r="CT4" s="38" t="str">
        <f>HLOOKUP(K$24,CW$4:DT$11,2,FALSE)</f>
        <v>Lineman Human Mercenary</v>
      </c>
      <c r="CU4" s="33"/>
      <c r="CV4" s="11"/>
      <c r="CW4" s="58" t="s">
        <v>28</v>
      </c>
      <c r="CX4" s="59" t="s">
        <v>29</v>
      </c>
      <c r="CY4" s="59" t="s">
        <v>30</v>
      </c>
      <c r="CZ4" s="59" t="s">
        <v>31</v>
      </c>
      <c r="DA4" s="59" t="s">
        <v>32</v>
      </c>
      <c r="DB4" s="59" t="s">
        <v>33</v>
      </c>
      <c r="DC4" s="58" t="s">
        <v>34</v>
      </c>
      <c r="DD4" s="59" t="s">
        <v>35</v>
      </c>
      <c r="DE4" s="59" t="s">
        <v>36</v>
      </c>
      <c r="DF4" s="59" t="s">
        <v>37</v>
      </c>
      <c r="DG4" s="59" t="s">
        <v>38</v>
      </c>
      <c r="DH4" s="58" t="s">
        <v>39</v>
      </c>
      <c r="DI4" s="58" t="s">
        <v>40</v>
      </c>
      <c r="DJ4" s="58" t="s">
        <v>41</v>
      </c>
      <c r="DK4" s="59" t="s">
        <v>42</v>
      </c>
      <c r="DL4" s="58" t="s">
        <v>43</v>
      </c>
      <c r="DM4" s="58" t="s">
        <v>44</v>
      </c>
      <c r="DN4" s="58" t="s">
        <v>45</v>
      </c>
      <c r="DO4" s="59" t="s">
        <v>46</v>
      </c>
      <c r="DP4" s="58" t="s">
        <v>47</v>
      </c>
      <c r="DQ4" s="58" t="s">
        <v>48</v>
      </c>
      <c r="DR4" s="58" t="s">
        <v>49</v>
      </c>
      <c r="DS4" s="58" t="s">
        <v>50</v>
      </c>
      <c r="DT4" s="59" t="s">
        <v>51</v>
      </c>
    </row>
    <row r="5" spans="2:124" ht="18" customHeight="1">
      <c r="B5" s="41"/>
      <c r="C5" s="60">
        <v>1</v>
      </c>
      <c r="D5" s="61" t="s">
        <v>54</v>
      </c>
      <c r="E5" s="62" t="str">
        <f aca="true" t="shared" si="1" ref="E5:E20">IF(AG5&lt;=1,"",VLOOKUP(AG5,BD$1:BE$65536,2,FALSE))</f>
        <v>Blitzer Human</v>
      </c>
      <c r="F5" s="63">
        <f aca="true" t="shared" si="2" ref="F5:F20">IF(E5&lt;&gt;"",VLOOKUP(E5,$AO:$AU,2,FALSE)+R5,"")</f>
        <v>7</v>
      </c>
      <c r="G5" s="63">
        <f aca="true" t="shared" si="3" ref="G5:G20">IF(E5&lt;&gt;"",VLOOKUP(E5,$AO:$AU,3,FALSE)+S5,"")</f>
        <v>3</v>
      </c>
      <c r="H5" s="63">
        <f aca="true" t="shared" si="4" ref="H5:H20">IF(E5&lt;&gt;"",VLOOKUP(E5,$AO:$AU,4,FALSE)+T5,"")</f>
        <v>2</v>
      </c>
      <c r="I5" s="63">
        <f aca="true" t="shared" si="5" ref="I5:I20">IF(E5&lt;&gt;"",VLOOKUP(E5,$AO:$AU,5,FALSE)+U5,"")</f>
        <v>8</v>
      </c>
      <c r="J5" s="64" t="str">
        <f>IF(E5="","",IF(COUNTIF(E5:E20,E5)&gt;VLOOKUP(E5,AO:AX,10,FALSE),"ERRORE! TROPPI GIOCATORI IN QUESTO RUOLO!",VLOOKUP(E5,AO:AU,6,FALSE)))</f>
        <v>Block</v>
      </c>
      <c r="K5" s="65"/>
      <c r="L5" s="66"/>
      <c r="M5" s="66"/>
      <c r="N5" s="67">
        <f aca="true" t="shared" si="6" ref="N5:N20">IF(AB5="Star","n/a",IF(AB5&gt;=176,"7",IF(AB5&gt;=126,"6",IF(AB5&gt;=76,"5",IF(AB5&gt;=51,"4",IF(AB5&gt;=31,"3",IF(AB5&gt;=16,"2",IF(AB5&gt;=6,"1",""))))))))</f>
      </c>
      <c r="O5" s="67" t="str">
        <f aca="true" t="shared" si="7" ref="O5:O20">(IF(E5&lt;&gt;"",VLOOKUP(E5,AO$1:AW$65536,8,FALSE),""))</f>
        <v>GS</v>
      </c>
      <c r="P5" s="67" t="str">
        <f aca="true" t="shared" si="8" ref="P5:P20">(IF(E5&lt;&gt;"",VLOOKUP(E5,AO$1:AW$65536,9,FALSE),""))</f>
        <v>AP</v>
      </c>
      <c r="Q5" s="68"/>
      <c r="R5" s="69"/>
      <c r="S5" s="69"/>
      <c r="T5" s="69">
        <v>-1</v>
      </c>
      <c r="U5" s="69"/>
      <c r="V5" s="70"/>
      <c r="W5" s="70"/>
      <c r="X5" s="70"/>
      <c r="Y5" s="70">
        <v>1</v>
      </c>
      <c r="Z5" s="70">
        <v>0</v>
      </c>
      <c r="AA5" s="70"/>
      <c r="AB5" s="71">
        <f>IF(LEFT(E5,1)="*","Star",V5*1+W5*2+X5*1+Y5*3+Z5*2+AA5*5)</f>
        <v>3</v>
      </c>
      <c r="AC5" s="72">
        <f>IF(L5&lt;&gt;"",(IF(L5="M",AL5)),(""))</f>
      </c>
      <c r="AD5" s="73">
        <f aca="true" t="shared" si="9" ref="AD5:AD19">IF(L5&lt;&gt;"",(IF(L5="M","")),(AL5))</f>
        <v>90000</v>
      </c>
      <c r="AE5" s="74"/>
      <c r="AF5" s="19"/>
      <c r="AG5" s="75">
        <v>5</v>
      </c>
      <c r="AH5" s="52">
        <f aca="true" t="shared" si="10" ref="AH5:AH20">VLOOKUP(E5,$AO:$AU,2,FALSE)</f>
        <v>7</v>
      </c>
      <c r="AI5" s="52">
        <f aca="true" t="shared" si="11" ref="AI5:AI20">VLOOKUP(E5,$AO:$AU,3,FALSE)</f>
        <v>3</v>
      </c>
      <c r="AJ5" s="52">
        <f aca="true" t="shared" si="12" ref="AJ5:AJ20">VLOOKUP(E5,$AO:$AU,4,FALSE)</f>
        <v>3</v>
      </c>
      <c r="AK5" s="52">
        <f aca="true" t="shared" si="13" ref="AK5:AK20">VLOOKUP(E5,$AO:$AU,5,FALSE)</f>
        <v>8</v>
      </c>
      <c r="AL5" s="35">
        <f aca="true" t="shared" si="14" ref="AL5:AL20">(IF(E5&lt;&gt;"",VLOOKUP(E5,AO$1:AU$65536,7,FALSE),"0")+(Q5*1000))</f>
        <v>90000</v>
      </c>
      <c r="AM5" s="35"/>
      <c r="AN5" s="29">
        <v>3</v>
      </c>
      <c r="AO5" s="30" t="s">
        <v>55</v>
      </c>
      <c r="AP5" s="31">
        <v>6</v>
      </c>
      <c r="AQ5" s="31">
        <v>3</v>
      </c>
      <c r="AR5" s="31">
        <v>3</v>
      </c>
      <c r="AS5" s="31">
        <v>7</v>
      </c>
      <c r="AT5" s="32" t="s">
        <v>56</v>
      </c>
      <c r="AU5" s="33">
        <v>70000</v>
      </c>
      <c r="AV5" s="33" t="s">
        <v>57</v>
      </c>
      <c r="AW5" s="33" t="s">
        <v>58</v>
      </c>
      <c r="AX5" s="33">
        <v>2</v>
      </c>
      <c r="AY5" s="57"/>
      <c r="AZ5" s="34">
        <v>2</v>
      </c>
      <c r="BA5" s="59" t="s">
        <v>29</v>
      </c>
      <c r="BB5" s="33">
        <v>60000</v>
      </c>
      <c r="BC5" s="33"/>
      <c r="BD5" s="36">
        <f aca="true" t="shared" si="15" ref="BD5:BD22">IF(BE5="","",BD4+1)</f>
        <v>3</v>
      </c>
      <c r="BE5" s="37" t="str">
        <f aca="true" t="shared" si="16" ref="BE5:BE22">IF(BF5=0,"",BF5)</f>
        <v>Catcher Human</v>
      </c>
      <c r="BF5" s="38" t="str">
        <f>HLOOKUP(K$24,BI$4:CF$23,3,FALSE)</f>
        <v>Catcher Human</v>
      </c>
      <c r="BG5" s="33"/>
      <c r="BI5" s="30" t="s">
        <v>24</v>
      </c>
      <c r="BJ5" s="6" t="s">
        <v>59</v>
      </c>
      <c r="BK5" s="6" t="s">
        <v>60</v>
      </c>
      <c r="BL5" s="6" t="s">
        <v>61</v>
      </c>
      <c r="BM5" s="30" t="s">
        <v>62</v>
      </c>
      <c r="BN5" s="6" t="s">
        <v>63</v>
      </c>
      <c r="BO5" s="30" t="s">
        <v>64</v>
      </c>
      <c r="BP5" s="30" t="s">
        <v>35</v>
      </c>
      <c r="BQ5" s="6" t="s">
        <v>36</v>
      </c>
      <c r="BR5" s="30" t="s">
        <v>65</v>
      </c>
      <c r="BS5" s="30" t="s">
        <v>66</v>
      </c>
      <c r="BT5" s="30" t="s">
        <v>67</v>
      </c>
      <c r="BU5" s="30" t="s">
        <v>68</v>
      </c>
      <c r="BV5" s="30" t="s">
        <v>69</v>
      </c>
      <c r="BW5" s="6" t="s">
        <v>70</v>
      </c>
      <c r="BX5" s="30" t="s">
        <v>71</v>
      </c>
      <c r="BY5" s="30" t="s">
        <v>72</v>
      </c>
      <c r="BZ5" s="30" t="s">
        <v>73</v>
      </c>
      <c r="CA5" s="30" t="s">
        <v>74</v>
      </c>
      <c r="CB5" s="30" t="s">
        <v>75</v>
      </c>
      <c r="CC5" s="30" t="s">
        <v>76</v>
      </c>
      <c r="CD5" s="30" t="s">
        <v>77</v>
      </c>
      <c r="CE5" s="30" t="s">
        <v>78</v>
      </c>
      <c r="CF5" s="30" t="s">
        <v>79</v>
      </c>
      <c r="CG5" s="40"/>
      <c r="CH5" s="29">
        <v>3</v>
      </c>
      <c r="CI5" s="30" t="s">
        <v>80</v>
      </c>
      <c r="CJ5" s="31">
        <v>6</v>
      </c>
      <c r="CK5" s="31">
        <v>3</v>
      </c>
      <c r="CL5" s="31">
        <v>3</v>
      </c>
      <c r="CM5" s="31">
        <v>7</v>
      </c>
      <c r="CN5" s="32" t="s">
        <v>81</v>
      </c>
      <c r="CO5" s="33">
        <v>100000</v>
      </c>
      <c r="CP5" s="57"/>
      <c r="CQ5" s="40"/>
      <c r="CR5" s="36">
        <f t="shared" si="0"/>
        <v>3</v>
      </c>
      <c r="CS5" s="37" t="str">
        <f>IF(CT5=0,"",CT5)</f>
        <v>Catcher Human Mercenary</v>
      </c>
      <c r="CT5" s="38" t="str">
        <f>HLOOKUP(K$24,CW$4:DT$11,3,FALSE)</f>
        <v>Catcher Human Mercenary</v>
      </c>
      <c r="CU5" s="33"/>
      <c r="CV5" s="11"/>
      <c r="CW5" s="30" t="s">
        <v>52</v>
      </c>
      <c r="CX5" s="6" t="s">
        <v>82</v>
      </c>
      <c r="CY5" s="6" t="s">
        <v>83</v>
      </c>
      <c r="CZ5" s="6" t="s">
        <v>84</v>
      </c>
      <c r="DA5" s="30" t="s">
        <v>85</v>
      </c>
      <c r="DB5" s="6" t="s">
        <v>86</v>
      </c>
      <c r="DC5" s="30" t="s">
        <v>87</v>
      </c>
      <c r="DD5" s="30" t="s">
        <v>88</v>
      </c>
      <c r="DE5" s="6" t="s">
        <v>89</v>
      </c>
      <c r="DF5" s="30" t="s">
        <v>90</v>
      </c>
      <c r="DG5" s="30" t="s">
        <v>91</v>
      </c>
      <c r="DH5" s="30" t="s">
        <v>92</v>
      </c>
      <c r="DI5" s="30" t="s">
        <v>93</v>
      </c>
      <c r="DJ5" s="30" t="s">
        <v>94</v>
      </c>
      <c r="DK5" s="6" t="s">
        <v>95</v>
      </c>
      <c r="DL5" s="30" t="s">
        <v>96</v>
      </c>
      <c r="DM5" s="30" t="s">
        <v>97</v>
      </c>
      <c r="DN5" s="30" t="s">
        <v>98</v>
      </c>
      <c r="DO5" s="30" t="s">
        <v>99</v>
      </c>
      <c r="DP5" s="30" t="s">
        <v>100</v>
      </c>
      <c r="DQ5" s="30" t="s">
        <v>101</v>
      </c>
      <c r="DR5" s="30" t="s">
        <v>102</v>
      </c>
      <c r="DS5" s="30" t="s">
        <v>103</v>
      </c>
      <c r="DT5" s="30" t="s">
        <v>104</v>
      </c>
    </row>
    <row r="6" spans="2:124" ht="18" customHeight="1">
      <c r="B6" s="41"/>
      <c r="C6" s="76">
        <v>2</v>
      </c>
      <c r="D6" s="77" t="s">
        <v>105</v>
      </c>
      <c r="E6" s="78" t="str">
        <f t="shared" si="1"/>
        <v>Blitzer Human</v>
      </c>
      <c r="F6" s="79">
        <f t="shared" si="2"/>
        <v>7</v>
      </c>
      <c r="G6" s="79">
        <f t="shared" si="3"/>
        <v>3</v>
      </c>
      <c r="H6" s="79">
        <f t="shared" si="4"/>
        <v>3</v>
      </c>
      <c r="I6" s="79">
        <f t="shared" si="5"/>
        <v>8</v>
      </c>
      <c r="J6" s="80" t="str">
        <f>IF(E6="","",IF(COUNTIF(E5:E20,E6)&gt;VLOOKUP(E6,AO:AX,10,FALSE),"ERRORE! TROPPI GIOCATORI IN QUESTO RUOLO!",VLOOKUP(E6,AO:AU,6,FALSE)))</f>
        <v>Block</v>
      </c>
      <c r="K6" s="81"/>
      <c r="L6" s="82"/>
      <c r="M6" s="82"/>
      <c r="N6" s="83">
        <f t="shared" si="6"/>
      </c>
      <c r="O6" s="83" t="str">
        <f t="shared" si="7"/>
        <v>GS</v>
      </c>
      <c r="P6" s="83" t="str">
        <f t="shared" si="8"/>
        <v>AP</v>
      </c>
      <c r="Q6" s="68"/>
      <c r="R6" s="84"/>
      <c r="S6" s="84"/>
      <c r="T6" s="84"/>
      <c r="U6" s="84"/>
      <c r="V6" s="85"/>
      <c r="W6" s="85"/>
      <c r="X6" s="85"/>
      <c r="Y6" s="85"/>
      <c r="Z6" s="85">
        <v>1</v>
      </c>
      <c r="AA6" s="85"/>
      <c r="AB6" s="71">
        <f aca="true" t="shared" si="17" ref="AB6:AB20">IF(LEFT(E6,1)="*","Star",V6*1+W6*2+X6*1+Y6*3+Z6*2+AA6*5)</f>
        <v>2</v>
      </c>
      <c r="AC6" s="72">
        <f aca="true" t="shared" si="18" ref="AC6:AC20">IF(L6&lt;&gt;"",(IF(L6="M",AL6,(IF(L6="N/M",AL6,(IF(L6="N","")))))),(""))</f>
      </c>
      <c r="AD6" s="73">
        <f t="shared" si="9"/>
        <v>90000</v>
      </c>
      <c r="AE6" s="74"/>
      <c r="AF6" s="19"/>
      <c r="AG6" s="75">
        <v>5</v>
      </c>
      <c r="AH6" s="52">
        <f t="shared" si="10"/>
        <v>7</v>
      </c>
      <c r="AI6" s="52">
        <f t="shared" si="11"/>
        <v>3</v>
      </c>
      <c r="AJ6" s="52">
        <f t="shared" si="12"/>
        <v>3</v>
      </c>
      <c r="AK6" s="52">
        <f t="shared" si="13"/>
        <v>8</v>
      </c>
      <c r="AL6" s="35">
        <f t="shared" si="14"/>
        <v>90000</v>
      </c>
      <c r="AM6" s="35"/>
      <c r="AN6" s="29">
        <v>4</v>
      </c>
      <c r="AO6" s="30" t="s">
        <v>106</v>
      </c>
      <c r="AP6" s="31">
        <v>6</v>
      </c>
      <c r="AQ6" s="31">
        <v>3</v>
      </c>
      <c r="AR6" s="31">
        <v>3</v>
      </c>
      <c r="AS6" s="31">
        <v>7</v>
      </c>
      <c r="AT6" s="32" t="s">
        <v>107</v>
      </c>
      <c r="AU6" s="33">
        <v>70000</v>
      </c>
      <c r="AV6" s="33" t="s">
        <v>108</v>
      </c>
      <c r="AW6" s="33" t="s">
        <v>109</v>
      </c>
      <c r="AX6" s="33">
        <v>2</v>
      </c>
      <c r="AY6" s="57"/>
      <c r="AZ6" s="34">
        <v>3</v>
      </c>
      <c r="BA6" s="59" t="s">
        <v>30</v>
      </c>
      <c r="BB6" s="33">
        <v>70000</v>
      </c>
      <c r="BC6" s="33"/>
      <c r="BD6" s="36">
        <f t="shared" si="15"/>
        <v>4</v>
      </c>
      <c r="BE6" s="37" t="str">
        <f t="shared" si="16"/>
        <v>Thrower Human</v>
      </c>
      <c r="BF6" s="38" t="str">
        <f>HLOOKUP(K$24,BI$4:CF$23,4,FALSE)</f>
        <v>Thrower Human</v>
      </c>
      <c r="BG6" s="33"/>
      <c r="BI6" s="30" t="s">
        <v>55</v>
      </c>
      <c r="BJ6" s="6" t="s">
        <v>110</v>
      </c>
      <c r="BK6" s="6" t="s">
        <v>111</v>
      </c>
      <c r="BL6" s="6" t="s">
        <v>112</v>
      </c>
      <c r="BM6" s="30" t="s">
        <v>113</v>
      </c>
      <c r="BN6" s="6" t="s">
        <v>114</v>
      </c>
      <c r="BO6" s="30" t="s">
        <v>115</v>
      </c>
      <c r="BP6" s="30" t="s">
        <v>116</v>
      </c>
      <c r="BQ6" s="30" t="s">
        <v>117</v>
      </c>
      <c r="BR6" s="30" t="s">
        <v>118</v>
      </c>
      <c r="BS6" s="30" t="s">
        <v>119</v>
      </c>
      <c r="BT6" s="30" t="s">
        <v>120</v>
      </c>
      <c r="BU6" s="30" t="s">
        <v>121</v>
      </c>
      <c r="BV6" s="30" t="s">
        <v>122</v>
      </c>
      <c r="BW6" s="6" t="s">
        <v>123</v>
      </c>
      <c r="BX6" s="30" t="s">
        <v>124</v>
      </c>
      <c r="BY6" s="30" t="s">
        <v>125</v>
      </c>
      <c r="BZ6" s="30" t="s">
        <v>126</v>
      </c>
      <c r="CA6" s="30" t="s">
        <v>127</v>
      </c>
      <c r="CB6" s="30" t="s">
        <v>128</v>
      </c>
      <c r="CC6" s="6" t="s">
        <v>129</v>
      </c>
      <c r="CD6" s="6" t="s">
        <v>130</v>
      </c>
      <c r="CE6" s="30" t="s">
        <v>50</v>
      </c>
      <c r="CF6" s="30" t="s">
        <v>131</v>
      </c>
      <c r="CG6" s="40"/>
      <c r="CH6" s="29">
        <v>4</v>
      </c>
      <c r="CI6" s="30" t="s">
        <v>132</v>
      </c>
      <c r="CJ6" s="31">
        <v>6</v>
      </c>
      <c r="CK6" s="31">
        <v>3</v>
      </c>
      <c r="CL6" s="31">
        <v>3</v>
      </c>
      <c r="CM6" s="31">
        <v>7</v>
      </c>
      <c r="CN6" s="32" t="s">
        <v>133</v>
      </c>
      <c r="CO6" s="33">
        <v>100000</v>
      </c>
      <c r="CP6" s="57"/>
      <c r="CQ6" s="40"/>
      <c r="CR6" s="36">
        <f t="shared" si="0"/>
        <v>4</v>
      </c>
      <c r="CS6" s="37" t="str">
        <f>IF(CT6=0,"",CT6)</f>
        <v>Thrower Human Mercenary</v>
      </c>
      <c r="CT6" s="38" t="str">
        <f>HLOOKUP(K$24,CW$4:DT$11,4,FALSE)</f>
        <v>Thrower Human Mercenary</v>
      </c>
      <c r="CU6" s="33"/>
      <c r="CV6" s="11"/>
      <c r="CW6" s="30" t="s">
        <v>80</v>
      </c>
      <c r="CX6" s="6" t="s">
        <v>134</v>
      </c>
      <c r="CY6" s="6" t="s">
        <v>135</v>
      </c>
      <c r="CZ6" s="6" t="s">
        <v>136</v>
      </c>
      <c r="DA6" s="30" t="s">
        <v>137</v>
      </c>
      <c r="DB6" s="6" t="s">
        <v>138</v>
      </c>
      <c r="DC6" s="30" t="s">
        <v>139</v>
      </c>
      <c r="DD6" s="30" t="s">
        <v>140</v>
      </c>
      <c r="DE6" s="30" t="s">
        <v>141</v>
      </c>
      <c r="DF6" s="30" t="s">
        <v>142</v>
      </c>
      <c r="DG6" s="30" t="s">
        <v>143</v>
      </c>
      <c r="DH6" s="30" t="s">
        <v>144</v>
      </c>
      <c r="DI6" s="30" t="s">
        <v>145</v>
      </c>
      <c r="DJ6" s="30" t="s">
        <v>146</v>
      </c>
      <c r="DK6" s="6" t="s">
        <v>147</v>
      </c>
      <c r="DL6" s="30" t="s">
        <v>148</v>
      </c>
      <c r="DM6" s="30" t="s">
        <v>149</v>
      </c>
      <c r="DN6" s="30" t="s">
        <v>150</v>
      </c>
      <c r="DO6" s="30" t="s">
        <v>151</v>
      </c>
      <c r="DP6" s="30" t="s">
        <v>152</v>
      </c>
      <c r="DQ6" s="6" t="s">
        <v>153</v>
      </c>
      <c r="DR6" s="6" t="s">
        <v>154</v>
      </c>
      <c r="DS6" s="30" t="s">
        <v>155</v>
      </c>
      <c r="DT6" s="30" t="s">
        <v>156</v>
      </c>
    </row>
    <row r="7" spans="2:124" ht="18" customHeight="1">
      <c r="B7" s="41"/>
      <c r="C7" s="76">
        <v>3</v>
      </c>
      <c r="D7" s="77" t="s">
        <v>157</v>
      </c>
      <c r="E7" s="78" t="str">
        <f t="shared" si="1"/>
        <v>Blitzer Human</v>
      </c>
      <c r="F7" s="79">
        <f t="shared" si="2"/>
        <v>6</v>
      </c>
      <c r="G7" s="79">
        <f t="shared" si="3"/>
        <v>3</v>
      </c>
      <c r="H7" s="79">
        <f t="shared" si="4"/>
        <v>3</v>
      </c>
      <c r="I7" s="79">
        <f t="shared" si="5"/>
        <v>8</v>
      </c>
      <c r="J7" s="80" t="str">
        <f>IF(E7="","",IF(COUNTIF(E5:E20,E7)&gt;VLOOKUP(E7,AO:AX,10,FALSE),"ERRORE! TROPPI GIOCATORI IN QUESTO RUOLO!",VLOOKUP(E7,AO:AU,6,FALSE)))</f>
        <v>Block</v>
      </c>
      <c r="K7" s="81"/>
      <c r="L7" s="82"/>
      <c r="M7" s="82"/>
      <c r="N7" s="83" t="str">
        <f t="shared" si="6"/>
        <v>1</v>
      </c>
      <c r="O7" s="83" t="str">
        <f t="shared" si="7"/>
        <v>GS</v>
      </c>
      <c r="P7" s="83" t="str">
        <f t="shared" si="8"/>
        <v>AP</v>
      </c>
      <c r="Q7" s="68"/>
      <c r="R7" s="84">
        <v>-1</v>
      </c>
      <c r="S7" s="84"/>
      <c r="T7" s="84"/>
      <c r="U7" s="84"/>
      <c r="V7" s="85"/>
      <c r="W7" s="85"/>
      <c r="X7" s="85">
        <v>1</v>
      </c>
      <c r="Y7" s="85">
        <v>1</v>
      </c>
      <c r="Z7" s="85">
        <v>1</v>
      </c>
      <c r="AA7" s="85"/>
      <c r="AB7" s="71">
        <f t="shared" si="17"/>
        <v>6</v>
      </c>
      <c r="AC7" s="72">
        <f t="shared" si="18"/>
      </c>
      <c r="AD7" s="73">
        <f t="shared" si="9"/>
        <v>90000</v>
      </c>
      <c r="AE7" s="74"/>
      <c r="AF7" s="19"/>
      <c r="AG7" s="75">
        <v>5</v>
      </c>
      <c r="AH7" s="52">
        <f t="shared" si="10"/>
        <v>7</v>
      </c>
      <c r="AI7" s="52">
        <f t="shared" si="11"/>
        <v>3</v>
      </c>
      <c r="AJ7" s="52">
        <f t="shared" si="12"/>
        <v>3</v>
      </c>
      <c r="AK7" s="52">
        <f t="shared" si="13"/>
        <v>8</v>
      </c>
      <c r="AL7" s="35">
        <f t="shared" si="14"/>
        <v>90000</v>
      </c>
      <c r="AM7" s="35"/>
      <c r="AN7" s="29">
        <v>5</v>
      </c>
      <c r="AO7" s="86" t="s">
        <v>158</v>
      </c>
      <c r="AP7" s="87">
        <v>6</v>
      </c>
      <c r="AQ7" s="87">
        <v>3</v>
      </c>
      <c r="AR7" s="87">
        <v>3</v>
      </c>
      <c r="AS7" s="87">
        <v>7</v>
      </c>
      <c r="AT7" s="88" t="s">
        <v>159</v>
      </c>
      <c r="AU7" s="89">
        <v>90000</v>
      </c>
      <c r="AV7" s="89" t="s">
        <v>160</v>
      </c>
      <c r="AW7" s="89" t="s">
        <v>161</v>
      </c>
      <c r="AX7" s="89">
        <v>4</v>
      </c>
      <c r="AY7" s="57"/>
      <c r="AZ7" s="34">
        <v>4</v>
      </c>
      <c r="BA7" s="59" t="s">
        <v>31</v>
      </c>
      <c r="BB7" s="33">
        <v>70000</v>
      </c>
      <c r="BC7" s="33"/>
      <c r="BD7" s="36">
        <f t="shared" si="15"/>
        <v>5</v>
      </c>
      <c r="BE7" s="37" t="str">
        <f t="shared" si="16"/>
        <v>Blitzer Human</v>
      </c>
      <c r="BF7" s="38" t="str">
        <f>HLOOKUP(K$24,BI$4:CF$23,5,FALSE)</f>
        <v>Blitzer Human</v>
      </c>
      <c r="BG7" s="33"/>
      <c r="BI7" s="30" t="s">
        <v>106</v>
      </c>
      <c r="BJ7" s="30" t="s">
        <v>162</v>
      </c>
      <c r="BK7" s="6" t="s">
        <v>163</v>
      </c>
      <c r="BL7" s="6" t="s">
        <v>164</v>
      </c>
      <c r="BM7" s="30" t="s">
        <v>165</v>
      </c>
      <c r="BN7" s="6" t="s">
        <v>166</v>
      </c>
      <c r="BO7" s="30" t="s">
        <v>167</v>
      </c>
      <c r="BP7" s="30" t="s">
        <v>168</v>
      </c>
      <c r="BQ7" s="30" t="s">
        <v>169</v>
      </c>
      <c r="BR7" s="30" t="s">
        <v>170</v>
      </c>
      <c r="BS7" s="30" t="s">
        <v>171</v>
      </c>
      <c r="BT7" s="30" t="s">
        <v>172</v>
      </c>
      <c r="BU7" s="30" t="s">
        <v>173</v>
      </c>
      <c r="BV7" s="30" t="s">
        <v>174</v>
      </c>
      <c r="BW7" s="6" t="s">
        <v>175</v>
      </c>
      <c r="BX7" s="30" t="s">
        <v>176</v>
      </c>
      <c r="BY7" s="30" t="s">
        <v>169</v>
      </c>
      <c r="BZ7" s="30" t="s">
        <v>177</v>
      </c>
      <c r="CA7" s="30" t="s">
        <v>178</v>
      </c>
      <c r="CB7" s="30" t="s">
        <v>179</v>
      </c>
      <c r="CC7" s="6" t="s">
        <v>180</v>
      </c>
      <c r="CD7" s="6" t="s">
        <v>181</v>
      </c>
      <c r="CE7" s="30" t="s">
        <v>182</v>
      </c>
      <c r="CF7" s="30" t="s">
        <v>183</v>
      </c>
      <c r="CG7" s="40"/>
      <c r="CH7" s="29">
        <v>5</v>
      </c>
      <c r="CI7" s="86" t="s">
        <v>184</v>
      </c>
      <c r="CJ7" s="87">
        <v>6</v>
      </c>
      <c r="CK7" s="87">
        <v>3</v>
      </c>
      <c r="CL7" s="87">
        <v>3</v>
      </c>
      <c r="CM7" s="87">
        <v>7</v>
      </c>
      <c r="CN7" s="88" t="s">
        <v>185</v>
      </c>
      <c r="CO7" s="89">
        <v>120000</v>
      </c>
      <c r="CP7" s="57"/>
      <c r="CQ7" s="40"/>
      <c r="CR7" s="36">
        <f t="shared" si="0"/>
        <v>5</v>
      </c>
      <c r="CS7" s="37" t="str">
        <f>IF(CT7=0,"",CT7)</f>
        <v>Blitzer Human Mercenary</v>
      </c>
      <c r="CT7" s="38" t="str">
        <f>HLOOKUP(K$24,CW$4:DT$11,5,FALSE)</f>
        <v>Blitzer Human Mercenary</v>
      </c>
      <c r="CU7" s="33"/>
      <c r="CV7" s="11"/>
      <c r="CW7" s="30" t="s">
        <v>132</v>
      </c>
      <c r="CX7" s="30" t="s">
        <v>186</v>
      </c>
      <c r="CY7" s="6" t="s">
        <v>187</v>
      </c>
      <c r="CZ7" s="6" t="s">
        <v>188</v>
      </c>
      <c r="DA7" s="30" t="s">
        <v>189</v>
      </c>
      <c r="DB7" s="6" t="s">
        <v>190</v>
      </c>
      <c r="DC7" s="30" t="s">
        <v>191</v>
      </c>
      <c r="DD7" s="30" t="s">
        <v>192</v>
      </c>
      <c r="DE7" s="30"/>
      <c r="DF7" s="30" t="s">
        <v>193</v>
      </c>
      <c r="DG7" s="30" t="s">
        <v>194</v>
      </c>
      <c r="DH7" s="30" t="s">
        <v>195</v>
      </c>
      <c r="DI7" s="30" t="s">
        <v>196</v>
      </c>
      <c r="DJ7" s="30" t="s">
        <v>197</v>
      </c>
      <c r="DK7" s="6" t="s">
        <v>198</v>
      </c>
      <c r="DL7" s="30" t="s">
        <v>199</v>
      </c>
      <c r="DM7" s="30"/>
      <c r="DN7" s="30" t="s">
        <v>200</v>
      </c>
      <c r="DO7" s="30" t="s">
        <v>201</v>
      </c>
      <c r="DP7" s="30" t="s">
        <v>202</v>
      </c>
      <c r="DQ7" s="6" t="s">
        <v>203</v>
      </c>
      <c r="DR7" s="6" t="s">
        <v>204</v>
      </c>
      <c r="DS7" s="30"/>
      <c r="DT7" s="30" t="s">
        <v>205</v>
      </c>
    </row>
    <row r="8" spans="2:124" ht="18" customHeight="1">
      <c r="B8" s="41"/>
      <c r="C8" s="76">
        <v>4</v>
      </c>
      <c r="D8" s="77" t="s">
        <v>206</v>
      </c>
      <c r="E8" s="78" t="str">
        <f t="shared" si="1"/>
        <v>Blitzer Human</v>
      </c>
      <c r="F8" s="79">
        <f t="shared" si="2"/>
        <v>7</v>
      </c>
      <c r="G8" s="79">
        <f t="shared" si="3"/>
        <v>3</v>
      </c>
      <c r="H8" s="79">
        <f t="shared" si="4"/>
        <v>3</v>
      </c>
      <c r="I8" s="79">
        <f t="shared" si="5"/>
        <v>8</v>
      </c>
      <c r="J8" s="80" t="str">
        <f>IF(E8="","",IF(COUNTIF(E5:E20,E8)&gt;VLOOKUP(E8,AO:AX,10,FALSE),"ERRORE! TROPPI GIOCATORI IN QUESTO RUOLO!",VLOOKUP(E8,AO:AU,6,FALSE)))</f>
        <v>Block</v>
      </c>
      <c r="K8" s="81"/>
      <c r="L8" s="82"/>
      <c r="M8" s="82"/>
      <c r="N8" s="83" t="str">
        <f t="shared" si="6"/>
        <v>1</v>
      </c>
      <c r="O8" s="83" t="str">
        <f t="shared" si="7"/>
        <v>GS</v>
      </c>
      <c r="P8" s="83" t="str">
        <f t="shared" si="8"/>
        <v>AP</v>
      </c>
      <c r="Q8" s="68"/>
      <c r="R8" s="84"/>
      <c r="S8" s="84"/>
      <c r="T8" s="84"/>
      <c r="U8" s="84"/>
      <c r="V8" s="85">
        <v>0</v>
      </c>
      <c r="W8" s="85"/>
      <c r="X8" s="85"/>
      <c r="Y8" s="85"/>
      <c r="Z8" s="85">
        <v>2</v>
      </c>
      <c r="AA8" s="85">
        <v>1</v>
      </c>
      <c r="AB8" s="71">
        <f t="shared" si="17"/>
        <v>9</v>
      </c>
      <c r="AC8" s="72">
        <f t="shared" si="18"/>
      </c>
      <c r="AD8" s="73">
        <f t="shared" si="9"/>
        <v>90000</v>
      </c>
      <c r="AE8" s="74"/>
      <c r="AF8" s="19"/>
      <c r="AG8" s="75">
        <v>5</v>
      </c>
      <c r="AH8" s="52">
        <f t="shared" si="10"/>
        <v>7</v>
      </c>
      <c r="AI8" s="52">
        <f t="shared" si="11"/>
        <v>3</v>
      </c>
      <c r="AJ8" s="52">
        <f t="shared" si="12"/>
        <v>3</v>
      </c>
      <c r="AK8" s="52">
        <f t="shared" si="13"/>
        <v>8</v>
      </c>
      <c r="AL8" s="35">
        <f t="shared" si="14"/>
        <v>90000</v>
      </c>
      <c r="AM8" s="35"/>
      <c r="AN8" s="29">
        <v>6</v>
      </c>
      <c r="AO8" s="90" t="s">
        <v>59</v>
      </c>
      <c r="AP8" s="54">
        <v>6</v>
      </c>
      <c r="AQ8" s="54">
        <v>3</v>
      </c>
      <c r="AR8" s="54">
        <v>3</v>
      </c>
      <c r="AS8" s="54">
        <v>8</v>
      </c>
      <c r="AT8" s="55" t="s">
        <v>207</v>
      </c>
      <c r="AU8" s="56">
        <v>60000</v>
      </c>
      <c r="AV8" s="56" t="s">
        <v>208</v>
      </c>
      <c r="AW8" s="56" t="s">
        <v>161</v>
      </c>
      <c r="AX8" s="56">
        <v>16</v>
      </c>
      <c r="AY8" s="91" t="s">
        <v>29</v>
      </c>
      <c r="AZ8" s="34">
        <v>5</v>
      </c>
      <c r="BA8" s="59" t="s">
        <v>32</v>
      </c>
      <c r="BB8" s="33">
        <v>50000</v>
      </c>
      <c r="BC8" s="33"/>
      <c r="BD8" s="36">
        <f t="shared" si="15"/>
        <v>6</v>
      </c>
      <c r="BE8" s="37" t="str">
        <f t="shared" si="16"/>
        <v>Ogre</v>
      </c>
      <c r="BF8" s="38" t="str">
        <f>HLOOKUP(K$24,BI$4:CF$23,6,FALSE)</f>
        <v>Ogre</v>
      </c>
      <c r="BG8" s="33"/>
      <c r="BI8" s="30" t="s">
        <v>158</v>
      </c>
      <c r="BJ8" s="30" t="s">
        <v>209</v>
      </c>
      <c r="BK8" s="6" t="s">
        <v>210</v>
      </c>
      <c r="BL8" s="6" t="s">
        <v>211</v>
      </c>
      <c r="BM8" s="30" t="s">
        <v>212</v>
      </c>
      <c r="BN8" s="6" t="s">
        <v>213</v>
      </c>
      <c r="BO8" s="30" t="s">
        <v>214</v>
      </c>
      <c r="BP8" s="30" t="s">
        <v>215</v>
      </c>
      <c r="BQ8" s="30" t="s">
        <v>216</v>
      </c>
      <c r="BR8" s="30" t="s">
        <v>217</v>
      </c>
      <c r="BS8" s="30" t="s">
        <v>218</v>
      </c>
      <c r="BT8" s="30" t="s">
        <v>219</v>
      </c>
      <c r="BU8" s="30" t="s">
        <v>220</v>
      </c>
      <c r="BV8" s="30" t="s">
        <v>221</v>
      </c>
      <c r="BW8" s="30" t="s">
        <v>222</v>
      </c>
      <c r="BX8" s="30" t="s">
        <v>223</v>
      </c>
      <c r="BY8" s="30" t="s">
        <v>209</v>
      </c>
      <c r="BZ8" s="30" t="s">
        <v>224</v>
      </c>
      <c r="CA8" s="30" t="s">
        <v>225</v>
      </c>
      <c r="CB8" s="30" t="s">
        <v>226</v>
      </c>
      <c r="CC8" s="30" t="s">
        <v>227</v>
      </c>
      <c r="CD8" s="30" t="s">
        <v>228</v>
      </c>
      <c r="CE8" s="30" t="s">
        <v>229</v>
      </c>
      <c r="CF8" s="30" t="s">
        <v>230</v>
      </c>
      <c r="CG8" s="40"/>
      <c r="CH8" s="29">
        <v>6</v>
      </c>
      <c r="CI8" s="90" t="s">
        <v>82</v>
      </c>
      <c r="CJ8" s="54">
        <v>6</v>
      </c>
      <c r="CK8" s="54">
        <v>3</v>
      </c>
      <c r="CL8" s="54">
        <v>3</v>
      </c>
      <c r="CM8" s="54">
        <v>8</v>
      </c>
      <c r="CN8" s="55" t="s">
        <v>231</v>
      </c>
      <c r="CO8" s="56">
        <v>90000</v>
      </c>
      <c r="CP8" s="91" t="s">
        <v>29</v>
      </c>
      <c r="CQ8" s="40"/>
      <c r="CR8" s="36">
        <f t="shared" si="0"/>
      </c>
      <c r="CS8" s="37"/>
      <c r="CT8" s="38" t="str">
        <f>HLOOKUP(K$24,CW$4:DT$11,6,FALSE)</f>
        <v>Ogre Mercenary</v>
      </c>
      <c r="CU8" s="33"/>
      <c r="CV8" s="11"/>
      <c r="CW8" s="30" t="s">
        <v>184</v>
      </c>
      <c r="CX8" s="30"/>
      <c r="CY8" s="6" t="s">
        <v>232</v>
      </c>
      <c r="CZ8" s="6" t="s">
        <v>233</v>
      </c>
      <c r="DA8" s="30" t="s">
        <v>234</v>
      </c>
      <c r="DB8" s="6" t="s">
        <v>235</v>
      </c>
      <c r="DC8" s="30" t="s">
        <v>236</v>
      </c>
      <c r="DD8" s="30" t="s">
        <v>237</v>
      </c>
      <c r="DE8" s="30"/>
      <c r="DF8" s="30" t="s">
        <v>238</v>
      </c>
      <c r="DG8" s="30" t="s">
        <v>239</v>
      </c>
      <c r="DH8" s="30" t="s">
        <v>240</v>
      </c>
      <c r="DI8" s="30"/>
      <c r="DJ8" s="30" t="s">
        <v>241</v>
      </c>
      <c r="DK8" s="30" t="s">
        <v>242</v>
      </c>
      <c r="DL8" s="30" t="s">
        <v>243</v>
      </c>
      <c r="DM8" s="30"/>
      <c r="DN8" s="30" t="s">
        <v>244</v>
      </c>
      <c r="DO8" s="30" t="s">
        <v>245</v>
      </c>
      <c r="DP8" s="30" t="s">
        <v>246</v>
      </c>
      <c r="DQ8" s="30" t="s">
        <v>247</v>
      </c>
      <c r="DR8" s="30" t="s">
        <v>248</v>
      </c>
      <c r="DS8" s="30"/>
      <c r="DT8" s="30" t="s">
        <v>249</v>
      </c>
    </row>
    <row r="9" spans="2:124" ht="18" customHeight="1">
      <c r="B9" s="41"/>
      <c r="C9" s="76">
        <v>5</v>
      </c>
      <c r="D9" s="77" t="s">
        <v>250</v>
      </c>
      <c r="E9" s="78" t="str">
        <f t="shared" si="1"/>
        <v>Lineman Human</v>
      </c>
      <c r="F9" s="79">
        <f t="shared" si="2"/>
        <v>6</v>
      </c>
      <c r="G9" s="79">
        <f t="shared" si="3"/>
        <v>3</v>
      </c>
      <c r="H9" s="79">
        <f t="shared" si="4"/>
        <v>4</v>
      </c>
      <c r="I9" s="79">
        <f t="shared" si="5"/>
        <v>8</v>
      </c>
      <c r="J9" s="80">
        <f>IF(E9="","",IF(COUNTIF(E5:E20,E9)&gt;VLOOKUP(E9,AO:AX,10,FALSE),"ERRORE! TROPPI GIOCATORI IN QUESTO RUOLO!",VLOOKUP(E9,AO:AU,6,FALSE)))</f>
        <v>0</v>
      </c>
      <c r="K9" s="81"/>
      <c r="L9" s="82"/>
      <c r="M9" s="82"/>
      <c r="N9" s="83" t="str">
        <f t="shared" si="6"/>
        <v>1</v>
      </c>
      <c r="O9" s="83" t="str">
        <f t="shared" si="7"/>
        <v>G</v>
      </c>
      <c r="P9" s="83" t="str">
        <f t="shared" si="8"/>
        <v>ASP</v>
      </c>
      <c r="Q9" s="68">
        <v>40</v>
      </c>
      <c r="R9" s="84"/>
      <c r="S9" s="84"/>
      <c r="T9" s="84">
        <v>1</v>
      </c>
      <c r="U9" s="84"/>
      <c r="V9" s="85">
        <v>1</v>
      </c>
      <c r="W9" s="85"/>
      <c r="X9" s="85"/>
      <c r="Y9" s="85"/>
      <c r="Z9" s="85"/>
      <c r="AA9" s="85">
        <v>1</v>
      </c>
      <c r="AB9" s="71">
        <f t="shared" si="17"/>
        <v>6</v>
      </c>
      <c r="AC9" s="72">
        <f t="shared" si="18"/>
      </c>
      <c r="AD9" s="73">
        <f t="shared" si="9"/>
        <v>90000</v>
      </c>
      <c r="AE9" s="74"/>
      <c r="AF9" s="19"/>
      <c r="AG9" s="75">
        <v>2</v>
      </c>
      <c r="AH9" s="52">
        <f t="shared" si="10"/>
        <v>6</v>
      </c>
      <c r="AI9" s="52">
        <f t="shared" si="11"/>
        <v>3</v>
      </c>
      <c r="AJ9" s="52">
        <f t="shared" si="12"/>
        <v>3</v>
      </c>
      <c r="AK9" s="52">
        <f t="shared" si="13"/>
        <v>8</v>
      </c>
      <c r="AL9" s="35">
        <f t="shared" si="14"/>
        <v>90000</v>
      </c>
      <c r="AM9" s="35"/>
      <c r="AN9" s="29">
        <v>7</v>
      </c>
      <c r="AO9" s="92" t="s">
        <v>110</v>
      </c>
      <c r="AP9" s="31">
        <v>5</v>
      </c>
      <c r="AQ9" s="31">
        <v>4</v>
      </c>
      <c r="AR9" s="31">
        <v>3</v>
      </c>
      <c r="AS9" s="31">
        <v>9</v>
      </c>
      <c r="AT9" s="32"/>
      <c r="AU9" s="33">
        <v>100000</v>
      </c>
      <c r="AV9" s="33" t="s">
        <v>208</v>
      </c>
      <c r="AW9" s="33" t="s">
        <v>161</v>
      </c>
      <c r="AX9" s="33">
        <v>4</v>
      </c>
      <c r="AY9" s="91"/>
      <c r="AZ9" s="34">
        <v>6</v>
      </c>
      <c r="BA9" s="59" t="s">
        <v>33</v>
      </c>
      <c r="BB9" s="33">
        <v>50000</v>
      </c>
      <c r="BC9" s="33"/>
      <c r="BD9" s="36">
        <f t="shared" si="15"/>
        <v>7</v>
      </c>
      <c r="BE9" s="37" t="str">
        <f t="shared" si="16"/>
        <v>*Griff Oberwald</v>
      </c>
      <c r="BF9" s="38" t="str">
        <f>HLOOKUP(K$24,BI$4:CF$23,7,FALSE)</f>
        <v>*Griff Oberwald</v>
      </c>
      <c r="BG9" s="33"/>
      <c r="BI9" s="30" t="s">
        <v>169</v>
      </c>
      <c r="BJ9" s="30" t="s">
        <v>251</v>
      </c>
      <c r="BK9" s="30" t="s">
        <v>252</v>
      </c>
      <c r="BL9" s="30" t="s">
        <v>253</v>
      </c>
      <c r="BM9" s="30" t="s">
        <v>254</v>
      </c>
      <c r="BN9" s="6" t="s">
        <v>255</v>
      </c>
      <c r="BO9" s="30" t="s">
        <v>256</v>
      </c>
      <c r="BP9" s="30" t="s">
        <v>257</v>
      </c>
      <c r="BQ9" s="30" t="s">
        <v>258</v>
      </c>
      <c r="BR9" s="30" t="s">
        <v>256</v>
      </c>
      <c r="BS9" s="6" t="s">
        <v>44</v>
      </c>
      <c r="BT9" s="30" t="s">
        <v>259</v>
      </c>
      <c r="BU9" s="93" t="s">
        <v>260</v>
      </c>
      <c r="BV9" s="30" t="s">
        <v>261</v>
      </c>
      <c r="BW9" s="30" t="s">
        <v>262</v>
      </c>
      <c r="BX9" s="30" t="s">
        <v>209</v>
      </c>
      <c r="BY9" s="30" t="s">
        <v>251</v>
      </c>
      <c r="BZ9" s="30" t="s">
        <v>263</v>
      </c>
      <c r="CA9" s="30" t="s">
        <v>264</v>
      </c>
      <c r="CB9" s="30" t="s">
        <v>220</v>
      </c>
      <c r="CC9" s="6" t="s">
        <v>265</v>
      </c>
      <c r="CD9" s="6" t="s">
        <v>266</v>
      </c>
      <c r="CE9" s="30" t="s">
        <v>220</v>
      </c>
      <c r="CF9" s="30" t="s">
        <v>267</v>
      </c>
      <c r="CG9" s="40"/>
      <c r="CH9" s="29">
        <v>7</v>
      </c>
      <c r="CI9" s="92" t="s">
        <v>134</v>
      </c>
      <c r="CJ9" s="31">
        <v>5</v>
      </c>
      <c r="CK9" s="31">
        <v>4</v>
      </c>
      <c r="CL9" s="31">
        <v>3</v>
      </c>
      <c r="CM9" s="31">
        <v>9</v>
      </c>
      <c r="CN9" s="32" t="s">
        <v>268</v>
      </c>
      <c r="CO9" s="33">
        <v>130000</v>
      </c>
      <c r="CP9" s="91"/>
      <c r="CQ9" s="40"/>
      <c r="CR9" s="36">
        <f t="shared" si="0"/>
      </c>
      <c r="CS9" s="37"/>
      <c r="CT9" s="38">
        <f>HLOOKUP(K$24,CW$4:DT$11,7,FALSE)</f>
        <v>0</v>
      </c>
      <c r="CU9" s="33"/>
      <c r="CV9" s="11"/>
      <c r="CW9" s="30"/>
      <c r="CX9" s="30"/>
      <c r="CY9" s="30"/>
      <c r="CZ9" s="30" t="s">
        <v>269</v>
      </c>
      <c r="DA9" s="30" t="s">
        <v>270</v>
      </c>
      <c r="DB9" s="6" t="s">
        <v>271</v>
      </c>
      <c r="DC9" s="30"/>
      <c r="DD9" s="30" t="s">
        <v>272</v>
      </c>
      <c r="DE9" s="30"/>
      <c r="DF9" s="30"/>
      <c r="DG9" s="6" t="s">
        <v>273</v>
      </c>
      <c r="DH9" s="30"/>
      <c r="DI9" s="93"/>
      <c r="DJ9" s="30" t="s">
        <v>274</v>
      </c>
      <c r="DK9" s="30" t="s">
        <v>275</v>
      </c>
      <c r="DL9" s="30"/>
      <c r="DM9" s="30"/>
      <c r="DN9" s="30" t="s">
        <v>276</v>
      </c>
      <c r="DO9" s="30" t="s">
        <v>277</v>
      </c>
      <c r="DP9" s="30"/>
      <c r="DQ9" s="6" t="s">
        <v>278</v>
      </c>
      <c r="DR9" s="6" t="s">
        <v>279</v>
      </c>
      <c r="DS9" s="30"/>
      <c r="DT9" s="30" t="s">
        <v>280</v>
      </c>
    </row>
    <row r="10" spans="2:124" ht="18" customHeight="1">
      <c r="B10" s="41"/>
      <c r="C10" s="76">
        <v>6</v>
      </c>
      <c r="D10" s="77" t="s">
        <v>281</v>
      </c>
      <c r="E10" s="78" t="str">
        <f t="shared" si="1"/>
        <v>Lineman Human</v>
      </c>
      <c r="F10" s="79">
        <f t="shared" si="2"/>
        <v>6</v>
      </c>
      <c r="G10" s="79">
        <f t="shared" si="3"/>
        <v>3</v>
      </c>
      <c r="H10" s="79">
        <f t="shared" si="4"/>
        <v>3</v>
      </c>
      <c r="I10" s="79">
        <f t="shared" si="5"/>
        <v>8</v>
      </c>
      <c r="J10" s="80">
        <f>IF(E10="","",IF(COUNTIF(E5:E20,E10)&gt;VLOOKUP(E10,AO:AX,10,FALSE),"ERRORE! TROPPI GIOCATORI IN QUESTO RUOLO!",VLOOKUP(E10,AO:AU,6,FALSE)))</f>
        <v>0</v>
      </c>
      <c r="K10" s="81" t="s">
        <v>282</v>
      </c>
      <c r="L10" s="82" t="s">
        <v>9</v>
      </c>
      <c r="M10" s="82"/>
      <c r="N10" s="83" t="str">
        <f t="shared" si="6"/>
        <v>2</v>
      </c>
      <c r="O10" s="83" t="str">
        <f t="shared" si="7"/>
        <v>G</v>
      </c>
      <c r="P10" s="83" t="str">
        <f t="shared" si="8"/>
        <v>ASP</v>
      </c>
      <c r="Q10" s="68">
        <v>40</v>
      </c>
      <c r="R10" s="84"/>
      <c r="S10" s="84"/>
      <c r="T10" s="84"/>
      <c r="U10" s="84"/>
      <c r="V10" s="85">
        <v>1</v>
      </c>
      <c r="W10" s="85"/>
      <c r="X10" s="85"/>
      <c r="Y10" s="85"/>
      <c r="Z10" s="85">
        <v>4</v>
      </c>
      <c r="AA10" s="85">
        <v>2</v>
      </c>
      <c r="AB10" s="71">
        <f t="shared" si="17"/>
        <v>19</v>
      </c>
      <c r="AC10" s="72">
        <f t="shared" si="18"/>
        <v>90000</v>
      </c>
      <c r="AD10" s="73">
        <f t="shared" si="9"/>
      </c>
      <c r="AE10" s="74"/>
      <c r="AF10" s="19"/>
      <c r="AG10" s="75">
        <v>2</v>
      </c>
      <c r="AH10" s="52">
        <f t="shared" si="10"/>
        <v>6</v>
      </c>
      <c r="AI10" s="52">
        <f t="shared" si="11"/>
        <v>3</v>
      </c>
      <c r="AJ10" s="52">
        <f t="shared" si="12"/>
        <v>3</v>
      </c>
      <c r="AK10" s="52">
        <f t="shared" si="13"/>
        <v>8</v>
      </c>
      <c r="AL10" s="35">
        <f t="shared" si="14"/>
        <v>90000</v>
      </c>
      <c r="AM10" s="35"/>
      <c r="AN10" s="29">
        <v>8</v>
      </c>
      <c r="AO10" s="86" t="s">
        <v>162</v>
      </c>
      <c r="AP10" s="87">
        <v>5</v>
      </c>
      <c r="AQ10" s="87">
        <v>5</v>
      </c>
      <c r="AR10" s="87">
        <v>2</v>
      </c>
      <c r="AS10" s="87">
        <v>8</v>
      </c>
      <c r="AT10" s="88" t="s">
        <v>283</v>
      </c>
      <c r="AU10" s="89">
        <v>150000</v>
      </c>
      <c r="AV10" s="89" t="s">
        <v>284</v>
      </c>
      <c r="AW10" s="89" t="s">
        <v>285</v>
      </c>
      <c r="AX10" s="89">
        <v>1</v>
      </c>
      <c r="AY10" s="91"/>
      <c r="AZ10" s="34">
        <v>7</v>
      </c>
      <c r="BA10" s="58" t="s">
        <v>34</v>
      </c>
      <c r="BB10" s="33">
        <v>50000</v>
      </c>
      <c r="BC10" s="33"/>
      <c r="BD10" s="36">
        <f t="shared" si="15"/>
        <v>8</v>
      </c>
      <c r="BE10" s="37" t="str">
        <f t="shared" si="16"/>
        <v>*Helmut Wulf</v>
      </c>
      <c r="BF10" s="38" t="str">
        <f>HLOOKUP(K$24,BI$4:CF$23,8,FALSE)</f>
        <v>*Helmut Wulf</v>
      </c>
      <c r="BG10" s="33"/>
      <c r="BI10" s="30" t="s">
        <v>220</v>
      </c>
      <c r="BJ10" s="30" t="s">
        <v>252</v>
      </c>
      <c r="BK10" s="30" t="s">
        <v>286</v>
      </c>
      <c r="BL10" s="30" t="s">
        <v>287</v>
      </c>
      <c r="BM10" s="30" t="s">
        <v>288</v>
      </c>
      <c r="BN10" s="30" t="s">
        <v>289</v>
      </c>
      <c r="BO10" s="30" t="s">
        <v>288</v>
      </c>
      <c r="BP10" s="30" t="s">
        <v>290</v>
      </c>
      <c r="BQ10" s="30" t="s">
        <v>291</v>
      </c>
      <c r="BR10" s="30" t="s">
        <v>288</v>
      </c>
      <c r="BS10" s="93" t="s">
        <v>292</v>
      </c>
      <c r="BT10" s="94" t="s">
        <v>293</v>
      </c>
      <c r="BU10" s="30" t="s">
        <v>294</v>
      </c>
      <c r="BV10" s="30" t="s">
        <v>182</v>
      </c>
      <c r="BW10" s="30" t="s">
        <v>295</v>
      </c>
      <c r="BX10" s="30" t="s">
        <v>251</v>
      </c>
      <c r="BY10" s="93" t="s">
        <v>296</v>
      </c>
      <c r="BZ10" s="30" t="s">
        <v>297</v>
      </c>
      <c r="CA10" s="30" t="s">
        <v>298</v>
      </c>
      <c r="CB10" s="93" t="s">
        <v>260</v>
      </c>
      <c r="CC10" s="30" t="s">
        <v>182</v>
      </c>
      <c r="CD10" s="93" t="s">
        <v>296</v>
      </c>
      <c r="CE10" s="95" t="s">
        <v>299</v>
      </c>
      <c r="CF10" s="30" t="s">
        <v>256</v>
      </c>
      <c r="CG10" s="40"/>
      <c r="CH10" s="29">
        <v>8</v>
      </c>
      <c r="CI10" s="86" t="s">
        <v>186</v>
      </c>
      <c r="CJ10" s="87">
        <v>5</v>
      </c>
      <c r="CK10" s="87">
        <v>5</v>
      </c>
      <c r="CL10" s="87">
        <v>2</v>
      </c>
      <c r="CM10" s="87">
        <v>8</v>
      </c>
      <c r="CN10" s="88" t="s">
        <v>283</v>
      </c>
      <c r="CO10" s="89">
        <v>180000</v>
      </c>
      <c r="CP10" s="91"/>
      <c r="CQ10" s="40"/>
      <c r="CR10" s="36">
        <f t="shared" si="0"/>
      </c>
      <c r="CS10" s="37"/>
      <c r="CT10" s="38">
        <f>HLOOKUP(K$24,CW$4:DT$11,8,FALSE)</f>
        <v>0</v>
      </c>
      <c r="CU10" s="33"/>
      <c r="CV10" s="11"/>
      <c r="CW10" s="30"/>
      <c r="CX10" s="30"/>
      <c r="CY10" s="30"/>
      <c r="CZ10" s="30" t="s">
        <v>300</v>
      </c>
      <c r="DA10" s="30"/>
      <c r="DB10" s="30"/>
      <c r="DC10" s="30"/>
      <c r="DD10" s="30" t="s">
        <v>301</v>
      </c>
      <c r="DE10" s="30"/>
      <c r="DF10" s="30"/>
      <c r="DG10" s="93"/>
      <c r="DH10" s="94"/>
      <c r="DI10" s="30"/>
      <c r="DJ10" s="30"/>
      <c r="DK10" s="30" t="s">
        <v>302</v>
      </c>
      <c r="DL10" s="30"/>
      <c r="DM10" s="93"/>
      <c r="DN10" s="30" t="s">
        <v>303</v>
      </c>
      <c r="DO10" s="30"/>
      <c r="DP10" s="93"/>
      <c r="DQ10" s="30"/>
      <c r="DR10" s="93"/>
      <c r="DS10" s="95"/>
      <c r="DT10" s="30"/>
    </row>
    <row r="11" spans="2:124" ht="18" customHeight="1">
      <c r="B11" s="41"/>
      <c r="C11" s="76">
        <v>7</v>
      </c>
      <c r="D11" s="77" t="s">
        <v>304</v>
      </c>
      <c r="E11" s="78" t="str">
        <f t="shared" si="1"/>
        <v>Lineman Human</v>
      </c>
      <c r="F11" s="79">
        <f t="shared" si="2"/>
        <v>6</v>
      </c>
      <c r="G11" s="79">
        <f t="shared" si="3"/>
        <v>3</v>
      </c>
      <c r="H11" s="79">
        <f t="shared" si="4"/>
        <v>3</v>
      </c>
      <c r="I11" s="79">
        <f t="shared" si="5"/>
        <v>8</v>
      </c>
      <c r="J11" s="80">
        <f>IF(E11="","",IF(COUNTIF(E5:E20,E11)&gt;VLOOKUP(E11,AO:AX,10,FALSE),"ERRORE! TROPPI GIOCATORI IN QUESTO RUOLO!",VLOOKUP(E11,AO:AU,6,FALSE)))</f>
        <v>0</v>
      </c>
      <c r="K11" s="81"/>
      <c r="L11" s="82"/>
      <c r="M11" s="82"/>
      <c r="N11" s="83">
        <f t="shared" si="6"/>
      </c>
      <c r="O11" s="83" t="str">
        <f t="shared" si="7"/>
        <v>G</v>
      </c>
      <c r="P11" s="83" t="str">
        <f t="shared" si="8"/>
        <v>ASP</v>
      </c>
      <c r="Q11" s="68"/>
      <c r="R11" s="84"/>
      <c r="S11" s="84"/>
      <c r="T11" s="84"/>
      <c r="U11" s="84"/>
      <c r="V11" s="85">
        <v>1</v>
      </c>
      <c r="W11" s="85"/>
      <c r="X11" s="85"/>
      <c r="Y11" s="85"/>
      <c r="Z11" s="85"/>
      <c r="AA11" s="85"/>
      <c r="AB11" s="71">
        <f t="shared" si="17"/>
        <v>1</v>
      </c>
      <c r="AC11" s="72">
        <f t="shared" si="18"/>
      </c>
      <c r="AD11" s="73">
        <f t="shared" si="9"/>
        <v>50000</v>
      </c>
      <c r="AE11" s="74"/>
      <c r="AF11" s="19"/>
      <c r="AG11" s="75">
        <v>2</v>
      </c>
      <c r="AH11" s="52">
        <f t="shared" si="10"/>
        <v>6</v>
      </c>
      <c r="AI11" s="52">
        <f t="shared" si="11"/>
        <v>3</v>
      </c>
      <c r="AJ11" s="52">
        <f t="shared" si="12"/>
        <v>3</v>
      </c>
      <c r="AK11" s="52">
        <f t="shared" si="13"/>
        <v>8</v>
      </c>
      <c r="AL11" s="35">
        <f t="shared" si="14"/>
        <v>50000</v>
      </c>
      <c r="AM11" s="35"/>
      <c r="AN11" s="29">
        <v>9</v>
      </c>
      <c r="AO11" s="90" t="s">
        <v>60</v>
      </c>
      <c r="AP11" s="96">
        <v>6</v>
      </c>
      <c r="AQ11" s="96">
        <v>3</v>
      </c>
      <c r="AR11" s="96">
        <v>3</v>
      </c>
      <c r="AS11" s="96">
        <v>7</v>
      </c>
      <c r="AT11" s="55"/>
      <c r="AU11" s="97">
        <v>40000</v>
      </c>
      <c r="AV11" s="97" t="s">
        <v>26</v>
      </c>
      <c r="AW11" s="97" t="s">
        <v>27</v>
      </c>
      <c r="AX11" s="97">
        <v>16</v>
      </c>
      <c r="AY11" s="57" t="s">
        <v>30</v>
      </c>
      <c r="AZ11" s="34">
        <v>8</v>
      </c>
      <c r="BA11" s="59" t="s">
        <v>35</v>
      </c>
      <c r="BB11" s="33">
        <v>60000</v>
      </c>
      <c r="BC11" s="33"/>
      <c r="BD11" s="36">
        <f t="shared" si="15"/>
        <v>9</v>
      </c>
      <c r="BE11" s="37" t="str">
        <f t="shared" si="16"/>
        <v>*Mighty Zug</v>
      </c>
      <c r="BF11" s="38" t="str">
        <f>HLOOKUP(K$24,BI$4:CF$23,9,FALSE)</f>
        <v>*Mighty Zug</v>
      </c>
      <c r="BG11" s="33"/>
      <c r="BH11" s="34"/>
      <c r="BI11" s="30" t="s">
        <v>258</v>
      </c>
      <c r="BJ11" s="30" t="s">
        <v>305</v>
      </c>
      <c r="BK11" s="30" t="s">
        <v>258</v>
      </c>
      <c r="BL11" s="30" t="s">
        <v>306</v>
      </c>
      <c r="BM11" s="94" t="s">
        <v>307</v>
      </c>
      <c r="BN11" s="30" t="s">
        <v>308</v>
      </c>
      <c r="BO11" s="94" t="s">
        <v>309</v>
      </c>
      <c r="BP11" s="93" t="s">
        <v>296</v>
      </c>
      <c r="BQ11" s="30" t="s">
        <v>310</v>
      </c>
      <c r="BR11" s="30" t="s">
        <v>258</v>
      </c>
      <c r="BS11" s="30" t="s">
        <v>220</v>
      </c>
      <c r="BT11" s="95" t="s">
        <v>311</v>
      </c>
      <c r="BU11" s="30" t="s">
        <v>258</v>
      </c>
      <c r="BV11" s="30" t="s">
        <v>259</v>
      </c>
      <c r="BW11" s="30" t="s">
        <v>308</v>
      </c>
      <c r="BX11" s="30" t="s">
        <v>252</v>
      </c>
      <c r="BY11" s="30" t="s">
        <v>258</v>
      </c>
      <c r="BZ11" s="93" t="s">
        <v>296</v>
      </c>
      <c r="CA11" s="30" t="s">
        <v>312</v>
      </c>
      <c r="CB11" s="30" t="s">
        <v>294</v>
      </c>
      <c r="CC11" s="30" t="s">
        <v>259</v>
      </c>
      <c r="CD11" s="30" t="s">
        <v>298</v>
      </c>
      <c r="CE11" s="30" t="s">
        <v>258</v>
      </c>
      <c r="CF11" s="30" t="s">
        <v>288</v>
      </c>
      <c r="CG11" s="40"/>
      <c r="CH11" s="29">
        <v>9</v>
      </c>
      <c r="CI11" s="90" t="s">
        <v>83</v>
      </c>
      <c r="CJ11" s="96">
        <v>6</v>
      </c>
      <c r="CK11" s="96">
        <v>3</v>
      </c>
      <c r="CL11" s="96">
        <v>3</v>
      </c>
      <c r="CM11" s="96">
        <v>7</v>
      </c>
      <c r="CN11" s="55" t="s">
        <v>268</v>
      </c>
      <c r="CO11" s="97">
        <v>70000</v>
      </c>
      <c r="CP11" s="57" t="s">
        <v>30</v>
      </c>
      <c r="CQ11" s="40"/>
      <c r="CR11" s="36">
        <f t="shared" si="0"/>
      </c>
      <c r="CS11" s="37"/>
      <c r="CT11" s="38"/>
      <c r="CU11" s="33"/>
      <c r="CV11" s="34"/>
      <c r="CW11" s="30"/>
      <c r="CX11" s="30"/>
      <c r="CY11" s="30"/>
      <c r="CZ11" s="30" t="s">
        <v>313</v>
      </c>
      <c r="DA11" s="94"/>
      <c r="DB11" s="30"/>
      <c r="DC11" s="94"/>
      <c r="DD11" s="93"/>
      <c r="DE11" s="30"/>
      <c r="DF11" s="30"/>
      <c r="DG11" s="30"/>
      <c r="DH11" s="95"/>
      <c r="DI11" s="30"/>
      <c r="DJ11" s="30"/>
      <c r="DK11" s="30"/>
      <c r="DL11" s="30"/>
      <c r="DM11" s="30"/>
      <c r="DN11" s="93"/>
      <c r="DO11" s="30"/>
      <c r="DP11" s="30"/>
      <c r="DQ11" s="30"/>
      <c r="DR11" s="30"/>
      <c r="DS11" s="30"/>
      <c r="DT11" s="30"/>
    </row>
    <row r="12" spans="2:119" ht="18" customHeight="1">
      <c r="B12" s="41"/>
      <c r="C12" s="76">
        <v>8</v>
      </c>
      <c r="D12" s="77" t="s">
        <v>314</v>
      </c>
      <c r="E12" s="78" t="str">
        <f t="shared" si="1"/>
        <v>Lineman Human</v>
      </c>
      <c r="F12" s="79">
        <f t="shared" si="2"/>
        <v>6</v>
      </c>
      <c r="G12" s="79">
        <f t="shared" si="3"/>
        <v>3</v>
      </c>
      <c r="H12" s="79">
        <f t="shared" si="4"/>
        <v>2</v>
      </c>
      <c r="I12" s="79">
        <f t="shared" si="5"/>
        <v>8</v>
      </c>
      <c r="J12" s="80">
        <f>IF(E12="","",IF(COUNTIF(E5:E20,E12)&gt;VLOOKUP(E12,AO:AX,10,FALSE),"ERRORE! TROPPI GIOCATORI IN QUESTO RUOLO!",VLOOKUP(E12,AO:AU,6,FALSE)))</f>
        <v>0</v>
      </c>
      <c r="K12" s="81"/>
      <c r="L12" s="82"/>
      <c r="M12" s="82"/>
      <c r="N12" s="83">
        <f t="shared" si="6"/>
      </c>
      <c r="O12" s="83" t="str">
        <f t="shared" si="7"/>
        <v>G</v>
      </c>
      <c r="P12" s="83" t="str">
        <f t="shared" si="8"/>
        <v>ASP</v>
      </c>
      <c r="Q12" s="68"/>
      <c r="R12" s="84"/>
      <c r="S12" s="84"/>
      <c r="T12" s="84">
        <v>-1</v>
      </c>
      <c r="U12" s="84"/>
      <c r="V12" s="85">
        <v>1</v>
      </c>
      <c r="W12" s="85"/>
      <c r="X12" s="85"/>
      <c r="Y12" s="85"/>
      <c r="Z12" s="85">
        <v>0</v>
      </c>
      <c r="AA12" s="85"/>
      <c r="AB12" s="71">
        <f t="shared" si="17"/>
        <v>1</v>
      </c>
      <c r="AC12" s="72">
        <f t="shared" si="18"/>
      </c>
      <c r="AD12" s="73">
        <f t="shared" si="9"/>
        <v>50000</v>
      </c>
      <c r="AE12" s="74"/>
      <c r="AF12" s="19"/>
      <c r="AG12" s="75">
        <v>2</v>
      </c>
      <c r="AH12" s="52">
        <f t="shared" si="10"/>
        <v>6</v>
      </c>
      <c r="AI12" s="52">
        <f t="shared" si="11"/>
        <v>3</v>
      </c>
      <c r="AJ12" s="52">
        <f t="shared" si="12"/>
        <v>3</v>
      </c>
      <c r="AK12" s="52">
        <f t="shared" si="13"/>
        <v>8</v>
      </c>
      <c r="AL12" s="35">
        <f t="shared" si="14"/>
        <v>50000</v>
      </c>
      <c r="AM12" s="35"/>
      <c r="AN12" s="29">
        <v>10</v>
      </c>
      <c r="AO12" s="92" t="s">
        <v>111</v>
      </c>
      <c r="AP12" s="98">
        <v>4</v>
      </c>
      <c r="AQ12" s="98">
        <v>3</v>
      </c>
      <c r="AR12" s="98">
        <v>2</v>
      </c>
      <c r="AS12" s="98">
        <v>9</v>
      </c>
      <c r="AT12" s="32" t="s">
        <v>315</v>
      </c>
      <c r="AU12" s="99">
        <v>70000</v>
      </c>
      <c r="AV12" s="99" t="s">
        <v>160</v>
      </c>
      <c r="AW12" s="99" t="s">
        <v>316</v>
      </c>
      <c r="AX12" s="99">
        <v>6</v>
      </c>
      <c r="AY12" s="57"/>
      <c r="AZ12" s="34">
        <v>9</v>
      </c>
      <c r="BA12" s="59" t="s">
        <v>36</v>
      </c>
      <c r="BB12" s="33">
        <v>60000</v>
      </c>
      <c r="BC12" s="33"/>
      <c r="BD12" s="36">
        <f t="shared" si="15"/>
        <v>10</v>
      </c>
      <c r="BE12" s="37" t="str">
        <f t="shared" si="16"/>
        <v>*Morg ’n’ Thorg</v>
      </c>
      <c r="BF12" s="38" t="str">
        <f>HLOOKUP(K$24,BI$4:CF$23,10,FALSE)</f>
        <v>*Morg ’n’ Thorg</v>
      </c>
      <c r="BG12" s="33"/>
      <c r="BH12" s="34"/>
      <c r="BI12" s="30" t="s">
        <v>317</v>
      </c>
      <c r="BJ12" s="30" t="s">
        <v>318</v>
      </c>
      <c r="BK12" s="30" t="s">
        <v>319</v>
      </c>
      <c r="BL12" s="93" t="s">
        <v>296</v>
      </c>
      <c r="BM12" s="94" t="s">
        <v>309</v>
      </c>
      <c r="BN12" s="30" t="s">
        <v>320</v>
      </c>
      <c r="BO12" s="30" t="s">
        <v>321</v>
      </c>
      <c r="BP12" s="30" t="s">
        <v>322</v>
      </c>
      <c r="BQ12" s="30" t="s">
        <v>323</v>
      </c>
      <c r="BR12" s="95" t="s">
        <v>324</v>
      </c>
      <c r="BS12" s="93" t="s">
        <v>325</v>
      </c>
      <c r="BT12" s="30" t="s">
        <v>326</v>
      </c>
      <c r="BU12" s="30" t="s">
        <v>327</v>
      </c>
      <c r="BV12" s="95" t="s">
        <v>299</v>
      </c>
      <c r="BW12" s="30" t="s">
        <v>220</v>
      </c>
      <c r="BX12" s="30" t="s">
        <v>305</v>
      </c>
      <c r="BY12" s="30" t="s">
        <v>319</v>
      </c>
      <c r="BZ12" s="30" t="s">
        <v>258</v>
      </c>
      <c r="CA12" s="30" t="s">
        <v>328</v>
      </c>
      <c r="CB12" s="30" t="s">
        <v>258</v>
      </c>
      <c r="CC12" s="95" t="s">
        <v>299</v>
      </c>
      <c r="CD12" s="30" t="s">
        <v>312</v>
      </c>
      <c r="CE12" s="30" t="s">
        <v>329</v>
      </c>
      <c r="CF12" s="30" t="s">
        <v>321</v>
      </c>
      <c r="CG12" s="40"/>
      <c r="CH12" s="29">
        <v>10</v>
      </c>
      <c r="CI12" s="92" t="s">
        <v>135</v>
      </c>
      <c r="CJ12" s="98">
        <v>4</v>
      </c>
      <c r="CK12" s="98">
        <v>3</v>
      </c>
      <c r="CL12" s="98">
        <v>2</v>
      </c>
      <c r="CM12" s="98">
        <v>9</v>
      </c>
      <c r="CN12" s="32" t="s">
        <v>330</v>
      </c>
      <c r="CO12" s="99">
        <v>100000</v>
      </c>
      <c r="CP12" s="57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</row>
    <row r="13" spans="2:119" ht="18" customHeight="1">
      <c r="B13" s="41"/>
      <c r="C13" s="76">
        <v>9</v>
      </c>
      <c r="D13" s="77" t="s">
        <v>331</v>
      </c>
      <c r="E13" s="78" t="str">
        <f t="shared" si="1"/>
        <v>Ogre</v>
      </c>
      <c r="F13" s="79">
        <f t="shared" si="2"/>
        <v>5</v>
      </c>
      <c r="G13" s="79">
        <f t="shared" si="3"/>
        <v>5</v>
      </c>
      <c r="H13" s="79">
        <f t="shared" si="4"/>
        <v>2</v>
      </c>
      <c r="I13" s="79">
        <f t="shared" si="5"/>
        <v>9</v>
      </c>
      <c r="J13" s="80" t="str">
        <f>IF(E13="","",IF(COUNTIF(E5:E20,E13)&gt;VLOOKUP(E13,AO:AX,10,FALSE),"ERRORE! TROPPI GIOCATORI IN QUESTO RUOLO!",VLOOKUP(E13,AO:AU,6,FALSE)))</f>
        <v>Loner, Bone-head, Mighty Blow, Thick Skull, Throw Team-Mate</v>
      </c>
      <c r="K13" s="81" t="s">
        <v>332</v>
      </c>
      <c r="L13" s="82"/>
      <c r="M13" s="82"/>
      <c r="N13" s="83" t="str">
        <f t="shared" si="6"/>
        <v>1</v>
      </c>
      <c r="O13" s="83" t="str">
        <f t="shared" si="7"/>
        <v>S</v>
      </c>
      <c r="P13" s="83" t="str">
        <f t="shared" si="8"/>
        <v>GAP</v>
      </c>
      <c r="Q13" s="68">
        <v>20</v>
      </c>
      <c r="R13" s="84"/>
      <c r="S13" s="84"/>
      <c r="T13" s="84"/>
      <c r="U13" s="84"/>
      <c r="V13" s="85">
        <v>4</v>
      </c>
      <c r="W13" s="85"/>
      <c r="X13" s="85"/>
      <c r="Y13" s="85"/>
      <c r="Z13" s="85">
        <v>1</v>
      </c>
      <c r="AA13" s="85"/>
      <c r="AB13" s="71">
        <f t="shared" si="17"/>
        <v>6</v>
      </c>
      <c r="AC13" s="72">
        <f t="shared" si="18"/>
      </c>
      <c r="AD13" s="73">
        <f t="shared" si="9"/>
        <v>160000</v>
      </c>
      <c r="AE13" s="74"/>
      <c r="AF13" s="19"/>
      <c r="AG13" s="75">
        <v>6</v>
      </c>
      <c r="AH13" s="52">
        <f t="shared" si="10"/>
        <v>5</v>
      </c>
      <c r="AI13" s="52">
        <f t="shared" si="11"/>
        <v>5</v>
      </c>
      <c r="AJ13" s="52">
        <f t="shared" si="12"/>
        <v>2</v>
      </c>
      <c r="AK13" s="52">
        <f t="shared" si="13"/>
        <v>9</v>
      </c>
      <c r="AL13" s="35">
        <f t="shared" si="14"/>
        <v>160000</v>
      </c>
      <c r="AM13" s="35"/>
      <c r="AN13" s="29">
        <v>11</v>
      </c>
      <c r="AO13" s="92" t="s">
        <v>163</v>
      </c>
      <c r="AP13" s="98">
        <v>6</v>
      </c>
      <c r="AQ13" s="98">
        <v>4</v>
      </c>
      <c r="AR13" s="98">
        <v>2</v>
      </c>
      <c r="AS13" s="98">
        <v>9</v>
      </c>
      <c r="AT13" s="32" t="s">
        <v>333</v>
      </c>
      <c r="AU13" s="99">
        <v>130000</v>
      </c>
      <c r="AV13" s="99" t="s">
        <v>160</v>
      </c>
      <c r="AW13" s="99" t="s">
        <v>161</v>
      </c>
      <c r="AX13" s="99">
        <v>2</v>
      </c>
      <c r="AY13" s="57"/>
      <c r="AZ13" s="34">
        <v>10</v>
      </c>
      <c r="BA13" s="59" t="s">
        <v>37</v>
      </c>
      <c r="BB13" s="33">
        <v>50000</v>
      </c>
      <c r="BC13" s="33"/>
      <c r="BD13" s="36">
        <f t="shared" si="15"/>
        <v>11</v>
      </c>
      <c r="BE13" s="37" t="str">
        <f t="shared" si="16"/>
        <v>*Puggy Baconbreath</v>
      </c>
      <c r="BF13" s="38" t="str">
        <f>HLOOKUP(K$24,BI$4:CF$23,11,FALSE)</f>
        <v>*Puggy Baconbreath</v>
      </c>
      <c r="BG13" s="33"/>
      <c r="BH13" s="34"/>
      <c r="BI13" s="30" t="s">
        <v>310</v>
      </c>
      <c r="BJ13" s="93" t="s">
        <v>334</v>
      </c>
      <c r="BK13" s="30" t="s">
        <v>335</v>
      </c>
      <c r="BL13" s="30" t="s">
        <v>229</v>
      </c>
      <c r="BM13" s="95" t="s">
        <v>311</v>
      </c>
      <c r="BN13" s="30" t="s">
        <v>336</v>
      </c>
      <c r="BO13" s="30" t="s">
        <v>258</v>
      </c>
      <c r="BP13" s="30" t="s">
        <v>258</v>
      </c>
      <c r="BQ13" s="92" t="s">
        <v>337</v>
      </c>
      <c r="BR13" s="30" t="s">
        <v>338</v>
      </c>
      <c r="BS13" s="30" t="s">
        <v>258</v>
      </c>
      <c r="BT13" s="30" t="s">
        <v>339</v>
      </c>
      <c r="BU13" s="30" t="s">
        <v>340</v>
      </c>
      <c r="BV13" s="30" t="s">
        <v>326</v>
      </c>
      <c r="BW13" s="95" t="s">
        <v>341</v>
      </c>
      <c r="BX13" s="30" t="s">
        <v>318</v>
      </c>
      <c r="BY13" s="30" t="s">
        <v>342</v>
      </c>
      <c r="BZ13" s="30" t="s">
        <v>343</v>
      </c>
      <c r="CA13" s="30" t="s">
        <v>344</v>
      </c>
      <c r="CB13" s="30" t="s">
        <v>327</v>
      </c>
      <c r="CC13" s="30" t="s">
        <v>326</v>
      </c>
      <c r="CD13" s="30" t="s">
        <v>258</v>
      </c>
      <c r="CE13" s="30" t="s">
        <v>345</v>
      </c>
      <c r="CF13" s="30" t="s">
        <v>258</v>
      </c>
      <c r="CG13" s="40"/>
      <c r="CH13" s="29">
        <v>11</v>
      </c>
      <c r="CI13" s="92" t="s">
        <v>187</v>
      </c>
      <c r="CJ13" s="98">
        <v>6</v>
      </c>
      <c r="CK13" s="98">
        <v>4</v>
      </c>
      <c r="CL13" s="98">
        <v>2</v>
      </c>
      <c r="CM13" s="98">
        <v>9</v>
      </c>
      <c r="CN13" s="32" t="s">
        <v>346</v>
      </c>
      <c r="CO13" s="99">
        <v>160000</v>
      </c>
      <c r="CP13" s="57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</row>
    <row r="14" spans="2:119" ht="18" customHeight="1">
      <c r="B14" s="41"/>
      <c r="C14" s="76">
        <v>10</v>
      </c>
      <c r="D14" s="77" t="s">
        <v>347</v>
      </c>
      <c r="E14" s="78" t="str">
        <f t="shared" si="1"/>
        <v>Thrower Human</v>
      </c>
      <c r="F14" s="79">
        <f t="shared" si="2"/>
        <v>6</v>
      </c>
      <c r="G14" s="79">
        <f t="shared" si="3"/>
        <v>3</v>
      </c>
      <c r="H14" s="79">
        <f t="shared" si="4"/>
        <v>3</v>
      </c>
      <c r="I14" s="79">
        <f t="shared" si="5"/>
        <v>8</v>
      </c>
      <c r="J14" s="80" t="str">
        <f>IF(E14="","",IF(COUNTIF(E5:E20,E14)&gt;VLOOKUP(E14,AO:AX,10,FALSE),"ERRORE! TROPPI GIOCATORI IN QUESTO RUOLO!",VLOOKUP(E14,AO:AU,6,FALSE)))</f>
        <v>Sure Hands, Pass</v>
      </c>
      <c r="K14" s="81" t="s">
        <v>348</v>
      </c>
      <c r="L14" s="82"/>
      <c r="M14" s="82" t="s">
        <v>10</v>
      </c>
      <c r="N14" s="83" t="str">
        <f t="shared" si="6"/>
        <v>1</v>
      </c>
      <c r="O14" s="83" t="str">
        <f t="shared" si="7"/>
        <v>GP</v>
      </c>
      <c r="P14" s="83" t="str">
        <f t="shared" si="8"/>
        <v>AS</v>
      </c>
      <c r="Q14" s="68">
        <v>20</v>
      </c>
      <c r="R14" s="84"/>
      <c r="S14" s="84"/>
      <c r="T14" s="84"/>
      <c r="U14" s="84"/>
      <c r="V14" s="85">
        <v>4</v>
      </c>
      <c r="W14" s="85"/>
      <c r="X14" s="85">
        <v>3</v>
      </c>
      <c r="Y14" s="85"/>
      <c r="Z14" s="85">
        <v>0</v>
      </c>
      <c r="AA14" s="85"/>
      <c r="AB14" s="71">
        <f t="shared" si="17"/>
        <v>7</v>
      </c>
      <c r="AC14" s="72">
        <f t="shared" si="18"/>
      </c>
      <c r="AD14" s="73">
        <f t="shared" si="9"/>
        <v>90000</v>
      </c>
      <c r="AE14" s="74"/>
      <c r="AF14" s="19"/>
      <c r="AG14" s="75">
        <v>4</v>
      </c>
      <c r="AH14" s="52">
        <f t="shared" si="10"/>
        <v>6</v>
      </c>
      <c r="AI14" s="52">
        <f t="shared" si="11"/>
        <v>3</v>
      </c>
      <c r="AJ14" s="52">
        <f t="shared" si="12"/>
        <v>3</v>
      </c>
      <c r="AK14" s="52">
        <f t="shared" si="13"/>
        <v>8</v>
      </c>
      <c r="AL14" s="35">
        <f t="shared" si="14"/>
        <v>90000</v>
      </c>
      <c r="AM14" s="35"/>
      <c r="AN14" s="29">
        <v>12</v>
      </c>
      <c r="AO14" s="86" t="s">
        <v>210</v>
      </c>
      <c r="AP14" s="87">
        <v>5</v>
      </c>
      <c r="AQ14" s="87">
        <v>5</v>
      </c>
      <c r="AR14" s="87">
        <v>2</v>
      </c>
      <c r="AS14" s="87">
        <v>8</v>
      </c>
      <c r="AT14" s="88" t="s">
        <v>283</v>
      </c>
      <c r="AU14" s="89">
        <v>150000</v>
      </c>
      <c r="AV14" s="89" t="s">
        <v>349</v>
      </c>
      <c r="AW14" s="89" t="s">
        <v>350</v>
      </c>
      <c r="AX14" s="89">
        <v>1</v>
      </c>
      <c r="AY14" s="57"/>
      <c r="AZ14" s="34">
        <v>11</v>
      </c>
      <c r="BA14" s="59" t="s">
        <v>38</v>
      </c>
      <c r="BB14" s="33">
        <v>50000</v>
      </c>
      <c r="BC14" s="33"/>
      <c r="BD14" s="36">
        <f t="shared" si="15"/>
        <v>12</v>
      </c>
      <c r="BE14" s="37" t="str">
        <f t="shared" si="16"/>
        <v>*Zara the Slayer</v>
      </c>
      <c r="BF14" s="38" t="str">
        <f>HLOOKUP(K$24,BI$4:CF$23,12,FALSE)</f>
        <v>*Zara the Slayer</v>
      </c>
      <c r="BG14" s="33"/>
      <c r="BH14" s="34"/>
      <c r="BI14" s="30" t="s">
        <v>323</v>
      </c>
      <c r="BJ14" s="30" t="s">
        <v>258</v>
      </c>
      <c r="BK14" s="30" t="s">
        <v>351</v>
      </c>
      <c r="BL14" s="30" t="s">
        <v>305</v>
      </c>
      <c r="BM14" s="30" t="s">
        <v>258</v>
      </c>
      <c r="BN14" s="30" t="s">
        <v>258</v>
      </c>
      <c r="BO14" s="95" t="s">
        <v>324</v>
      </c>
      <c r="BP14" s="30" t="s">
        <v>319</v>
      </c>
      <c r="BQ14" s="6" t="s">
        <v>352</v>
      </c>
      <c r="BR14" s="30" t="s">
        <v>323</v>
      </c>
      <c r="BS14" s="30" t="s">
        <v>291</v>
      </c>
      <c r="BT14" s="30" t="s">
        <v>353</v>
      </c>
      <c r="BU14" s="30" t="s">
        <v>354</v>
      </c>
      <c r="BV14" s="30" t="s">
        <v>339</v>
      </c>
      <c r="BW14" s="30" t="s">
        <v>258</v>
      </c>
      <c r="BX14" s="93" t="s">
        <v>334</v>
      </c>
      <c r="BY14" s="30" t="s">
        <v>355</v>
      </c>
      <c r="BZ14" s="30" t="s">
        <v>342</v>
      </c>
      <c r="CA14" s="30" t="s">
        <v>258</v>
      </c>
      <c r="CB14" s="30" t="s">
        <v>340</v>
      </c>
      <c r="CC14" s="30" t="s">
        <v>339</v>
      </c>
      <c r="CD14" s="30" t="s">
        <v>319</v>
      </c>
      <c r="CE14" s="6" t="s">
        <v>356</v>
      </c>
      <c r="CF14" s="30" t="s">
        <v>310</v>
      </c>
      <c r="CG14" s="40"/>
      <c r="CH14" s="29">
        <v>12</v>
      </c>
      <c r="CI14" s="86" t="s">
        <v>232</v>
      </c>
      <c r="CJ14" s="87">
        <v>5</v>
      </c>
      <c r="CK14" s="87">
        <v>5</v>
      </c>
      <c r="CL14" s="87">
        <v>2</v>
      </c>
      <c r="CM14" s="87">
        <v>8</v>
      </c>
      <c r="CN14" s="88" t="s">
        <v>283</v>
      </c>
      <c r="CO14" s="89">
        <v>180000</v>
      </c>
      <c r="CP14" s="57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</row>
    <row r="15" spans="2:119" ht="18" customHeight="1">
      <c r="B15" s="41"/>
      <c r="C15" s="76">
        <v>11</v>
      </c>
      <c r="D15" s="77" t="s">
        <v>357</v>
      </c>
      <c r="E15" s="78" t="str">
        <f t="shared" si="1"/>
        <v>Lineman Human</v>
      </c>
      <c r="F15" s="79">
        <f t="shared" si="2"/>
        <v>6</v>
      </c>
      <c r="G15" s="79">
        <f t="shared" si="3"/>
        <v>3</v>
      </c>
      <c r="H15" s="79">
        <f t="shared" si="4"/>
        <v>3</v>
      </c>
      <c r="I15" s="79">
        <f t="shared" si="5"/>
        <v>8</v>
      </c>
      <c r="J15" s="80">
        <f>IF(E15="","",IF(COUNTIF(E5:E20,E15)&gt;VLOOKUP(E15,AO:AX,10,FALSE),"ERRORE! TROPPI GIOCATORI IN QUESTO RUOLO!",VLOOKUP(E15,AO:AU,6,FALSE)))</f>
        <v>0</v>
      </c>
      <c r="K15" s="81"/>
      <c r="L15" s="82"/>
      <c r="M15" s="82" t="s">
        <v>10</v>
      </c>
      <c r="N15" s="83">
        <f t="shared" si="6"/>
      </c>
      <c r="O15" s="83" t="str">
        <f t="shared" si="7"/>
        <v>G</v>
      </c>
      <c r="P15" s="83" t="str">
        <f t="shared" si="8"/>
        <v>ASP</v>
      </c>
      <c r="Q15" s="68"/>
      <c r="R15" s="84"/>
      <c r="S15" s="84"/>
      <c r="T15" s="84"/>
      <c r="U15" s="84"/>
      <c r="V15" s="85">
        <v>1</v>
      </c>
      <c r="W15" s="85"/>
      <c r="X15" s="85"/>
      <c r="Y15" s="85"/>
      <c r="Z15" s="85">
        <v>0</v>
      </c>
      <c r="AA15" s="85"/>
      <c r="AB15" s="71">
        <f t="shared" si="17"/>
        <v>1</v>
      </c>
      <c r="AC15" s="72">
        <f t="shared" si="18"/>
      </c>
      <c r="AD15" s="73">
        <f t="shared" si="9"/>
        <v>50000</v>
      </c>
      <c r="AE15" s="74"/>
      <c r="AF15" s="19"/>
      <c r="AG15" s="75">
        <v>2</v>
      </c>
      <c r="AH15" s="52">
        <f t="shared" si="10"/>
        <v>6</v>
      </c>
      <c r="AI15" s="52">
        <f t="shared" si="11"/>
        <v>3</v>
      </c>
      <c r="AJ15" s="52">
        <f t="shared" si="12"/>
        <v>3</v>
      </c>
      <c r="AK15" s="52">
        <f t="shared" si="13"/>
        <v>8</v>
      </c>
      <c r="AL15" s="35">
        <f t="shared" si="14"/>
        <v>50000</v>
      </c>
      <c r="AM15" s="35"/>
      <c r="AN15" s="29">
        <v>13</v>
      </c>
      <c r="AO15" s="30" t="s">
        <v>61</v>
      </c>
      <c r="AP15" s="31">
        <v>6</v>
      </c>
      <c r="AQ15" s="31">
        <v>3</v>
      </c>
      <c r="AR15" s="31">
        <v>3</v>
      </c>
      <c r="AS15" s="31">
        <v>8</v>
      </c>
      <c r="AT15" s="32"/>
      <c r="AU15" s="33">
        <v>50000</v>
      </c>
      <c r="AV15" s="33" t="s">
        <v>358</v>
      </c>
      <c r="AW15" s="33" t="s">
        <v>359</v>
      </c>
      <c r="AX15" s="33">
        <v>12</v>
      </c>
      <c r="AY15" s="100" t="s">
        <v>31</v>
      </c>
      <c r="AZ15" s="34">
        <v>12</v>
      </c>
      <c r="BA15" s="58" t="s">
        <v>39</v>
      </c>
      <c r="BB15" s="33">
        <v>70000</v>
      </c>
      <c r="BC15" s="33"/>
      <c r="BD15" s="36">
        <f t="shared" si="15"/>
        <v>13</v>
      </c>
      <c r="BE15" s="37" t="str">
        <f t="shared" si="16"/>
        <v>Lineman Human Journeyman</v>
      </c>
      <c r="BF15" s="38" t="str">
        <f>HLOOKUP(K$24,BI$4:CF$23,13,FALSE)</f>
        <v>Lineman Human Journeyman</v>
      </c>
      <c r="BG15" s="33"/>
      <c r="BH15" s="34"/>
      <c r="BI15" s="92" t="s">
        <v>360</v>
      </c>
      <c r="BJ15" s="92" t="s">
        <v>361</v>
      </c>
      <c r="BK15" s="92" t="s">
        <v>362</v>
      </c>
      <c r="BL15" s="30" t="s">
        <v>258</v>
      </c>
      <c r="BM15" s="30" t="s">
        <v>317</v>
      </c>
      <c r="BN15" s="30" t="s">
        <v>323</v>
      </c>
      <c r="BO15" s="30" t="s">
        <v>363</v>
      </c>
      <c r="BP15" s="30" t="s">
        <v>343</v>
      </c>
      <c r="BQ15" s="30"/>
      <c r="BR15" s="30" t="s">
        <v>364</v>
      </c>
      <c r="BS15" s="30" t="s">
        <v>323</v>
      </c>
      <c r="BT15" s="30" t="s">
        <v>365</v>
      </c>
      <c r="BU15" s="6" t="s">
        <v>366</v>
      </c>
      <c r="BV15" s="30" t="s">
        <v>329</v>
      </c>
      <c r="BW15" s="30" t="s">
        <v>329</v>
      </c>
      <c r="BX15" s="30" t="s">
        <v>258</v>
      </c>
      <c r="BY15" s="6" t="s">
        <v>367</v>
      </c>
      <c r="BZ15" s="30" t="s">
        <v>368</v>
      </c>
      <c r="CA15" s="30" t="s">
        <v>369</v>
      </c>
      <c r="CB15" s="30" t="s">
        <v>370</v>
      </c>
      <c r="CC15" s="30" t="s">
        <v>353</v>
      </c>
      <c r="CD15" s="30" t="s">
        <v>369</v>
      </c>
      <c r="CE15" s="6" t="s">
        <v>371</v>
      </c>
      <c r="CF15" s="30" t="s">
        <v>323</v>
      </c>
      <c r="CG15" s="40"/>
      <c r="CH15" s="29">
        <v>13</v>
      </c>
      <c r="CI15" s="30" t="s">
        <v>84</v>
      </c>
      <c r="CJ15" s="31">
        <v>6</v>
      </c>
      <c r="CK15" s="31">
        <v>3</v>
      </c>
      <c r="CL15" s="31">
        <v>3</v>
      </c>
      <c r="CM15" s="31">
        <v>8</v>
      </c>
      <c r="CN15" s="32" t="s">
        <v>268</v>
      </c>
      <c r="CO15" s="33">
        <v>80000</v>
      </c>
      <c r="CP15" s="100" t="s">
        <v>31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</row>
    <row r="16" spans="2:119" ht="18" customHeight="1">
      <c r="B16" s="41"/>
      <c r="C16" s="76">
        <v>12</v>
      </c>
      <c r="D16" s="77" t="s">
        <v>372</v>
      </c>
      <c r="E16" s="78" t="str">
        <f t="shared" si="1"/>
        <v>Catcher Human</v>
      </c>
      <c r="F16" s="79">
        <f t="shared" si="2"/>
        <v>8</v>
      </c>
      <c r="G16" s="79">
        <f t="shared" si="3"/>
        <v>2</v>
      </c>
      <c r="H16" s="79">
        <f t="shared" si="4"/>
        <v>3</v>
      </c>
      <c r="I16" s="79">
        <f t="shared" si="5"/>
        <v>7</v>
      </c>
      <c r="J16" s="80" t="str">
        <f>IF(E16="","",IF(COUNTIF(E5:E20,E16)&gt;VLOOKUP(E16,AO:AX,10,FALSE),"ERRORE! TROPPI GIOCATORI IN QUESTO RUOLO!",VLOOKUP(E16,AO:AU,6,FALSE)))</f>
        <v>Catch, Dodge</v>
      </c>
      <c r="K16" s="81"/>
      <c r="L16" s="82"/>
      <c r="M16" s="82"/>
      <c r="N16" s="83">
        <f t="shared" si="6"/>
      </c>
      <c r="O16" s="83" t="str">
        <f t="shared" si="7"/>
        <v>GA</v>
      </c>
      <c r="P16" s="83" t="str">
        <f t="shared" si="8"/>
        <v>SP</v>
      </c>
      <c r="Q16" s="68"/>
      <c r="R16" s="84"/>
      <c r="S16" s="84"/>
      <c r="T16" s="84"/>
      <c r="U16" s="84"/>
      <c r="V16" s="85">
        <v>3</v>
      </c>
      <c r="W16" s="85"/>
      <c r="X16" s="85"/>
      <c r="Y16" s="85"/>
      <c r="Z16" s="85"/>
      <c r="AA16" s="85"/>
      <c r="AB16" s="71">
        <f t="shared" si="17"/>
        <v>3</v>
      </c>
      <c r="AC16" s="72">
        <f t="shared" si="18"/>
      </c>
      <c r="AD16" s="73">
        <f t="shared" si="9"/>
        <v>70000</v>
      </c>
      <c r="AE16" s="74"/>
      <c r="AF16" s="19"/>
      <c r="AG16" s="75">
        <v>3</v>
      </c>
      <c r="AH16" s="52">
        <f t="shared" si="10"/>
        <v>8</v>
      </c>
      <c r="AI16" s="52">
        <f t="shared" si="11"/>
        <v>2</v>
      </c>
      <c r="AJ16" s="52">
        <f t="shared" si="12"/>
        <v>3</v>
      </c>
      <c r="AK16" s="52">
        <f t="shared" si="13"/>
        <v>7</v>
      </c>
      <c r="AL16" s="35">
        <f t="shared" si="14"/>
        <v>70000</v>
      </c>
      <c r="AM16" s="35"/>
      <c r="AN16" s="29">
        <v>14</v>
      </c>
      <c r="AO16" s="30" t="s">
        <v>112</v>
      </c>
      <c r="AP16" s="31">
        <v>6</v>
      </c>
      <c r="AQ16" s="31">
        <v>2</v>
      </c>
      <c r="AR16" s="31">
        <v>3</v>
      </c>
      <c r="AS16" s="31">
        <v>7</v>
      </c>
      <c r="AT16" s="32" t="s">
        <v>373</v>
      </c>
      <c r="AU16" s="33">
        <v>40000</v>
      </c>
      <c r="AV16" s="33" t="s">
        <v>374</v>
      </c>
      <c r="AW16" s="33" t="s">
        <v>375</v>
      </c>
      <c r="AX16" s="33">
        <v>1</v>
      </c>
      <c r="AY16" s="100"/>
      <c r="AZ16" s="34">
        <v>13</v>
      </c>
      <c r="BA16" s="58" t="s">
        <v>40</v>
      </c>
      <c r="BB16" s="33">
        <v>60000</v>
      </c>
      <c r="BC16" s="33"/>
      <c r="BD16" s="36">
        <f t="shared" si="15"/>
        <v>14</v>
      </c>
      <c r="BE16" s="37" t="str">
        <f t="shared" si="16"/>
        <v>**Jean Castaneda</v>
      </c>
      <c r="BF16" s="38" t="str">
        <f>HLOOKUP(K$24,BI$4:CF$23,14,FALSE)</f>
        <v>**Jean Castaneda</v>
      </c>
      <c r="BG16" s="33"/>
      <c r="BH16" s="34"/>
      <c r="BI16" s="6" t="s">
        <v>376</v>
      </c>
      <c r="BJ16" s="6" t="s">
        <v>377</v>
      </c>
      <c r="BK16" s="6" t="s">
        <v>378</v>
      </c>
      <c r="BL16" s="30" t="s">
        <v>368</v>
      </c>
      <c r="BM16" s="30" t="s">
        <v>379</v>
      </c>
      <c r="BN16" s="92" t="s">
        <v>380</v>
      </c>
      <c r="BO16" s="6" t="s">
        <v>381</v>
      </c>
      <c r="BP16" s="30" t="s">
        <v>342</v>
      </c>
      <c r="BQ16" s="30"/>
      <c r="BR16" s="6" t="s">
        <v>381</v>
      </c>
      <c r="BS16" s="30" t="s">
        <v>382</v>
      </c>
      <c r="BT16"/>
      <c r="BU16" s="30"/>
      <c r="BV16" s="30" t="s">
        <v>383</v>
      </c>
      <c r="BW16" s="30" t="s">
        <v>323</v>
      </c>
      <c r="BX16" s="30" t="s">
        <v>384</v>
      </c>
      <c r="BY16"/>
      <c r="BZ16" s="30" t="s">
        <v>385</v>
      </c>
      <c r="CA16" s="30" t="s">
        <v>386</v>
      </c>
      <c r="CB16" s="30"/>
      <c r="CC16" s="30" t="s">
        <v>387</v>
      </c>
      <c r="CD16" s="30" t="s">
        <v>388</v>
      </c>
      <c r="CE16"/>
      <c r="CF16" s="30" t="s">
        <v>389</v>
      </c>
      <c r="CG16" s="40"/>
      <c r="CH16" s="29">
        <v>14</v>
      </c>
      <c r="CI16" s="30" t="s">
        <v>136</v>
      </c>
      <c r="CJ16" s="31">
        <v>6</v>
      </c>
      <c r="CK16" s="31">
        <v>2</v>
      </c>
      <c r="CL16" s="31">
        <v>3</v>
      </c>
      <c r="CM16" s="31">
        <v>7</v>
      </c>
      <c r="CN16" s="32" t="s">
        <v>390</v>
      </c>
      <c r="CO16" s="33">
        <v>70000</v>
      </c>
      <c r="CP16" s="10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2:119" ht="18" customHeight="1">
      <c r="B17" s="41"/>
      <c r="C17" s="76">
        <v>13</v>
      </c>
      <c r="D17" s="77"/>
      <c r="E17" s="78" t="str">
        <f t="shared" si="1"/>
        <v>Catcher Human</v>
      </c>
      <c r="F17" s="79">
        <f t="shared" si="2"/>
        <v>8</v>
      </c>
      <c r="G17" s="79">
        <f t="shared" si="3"/>
        <v>2</v>
      </c>
      <c r="H17" s="79">
        <f t="shared" si="4"/>
        <v>3</v>
      </c>
      <c r="I17" s="79">
        <f t="shared" si="5"/>
        <v>7</v>
      </c>
      <c r="J17" s="80" t="str">
        <f>IF(E17="","",IF(COUNTIF(E5:E20,E17)&gt;VLOOKUP(E17,AO:AX,10,FALSE),"ERRORE! TROPPI GIOCATORI IN QUESTO RUOLO!",VLOOKUP(E17,AO:AU,6,FALSE)))</f>
        <v>Catch, Dodge</v>
      </c>
      <c r="K17" s="81"/>
      <c r="L17" s="82"/>
      <c r="M17" s="82"/>
      <c r="N17" s="83">
        <f t="shared" si="6"/>
      </c>
      <c r="O17" s="83" t="str">
        <f t="shared" si="7"/>
        <v>GA</v>
      </c>
      <c r="P17" s="83" t="str">
        <f t="shared" si="8"/>
        <v>SP</v>
      </c>
      <c r="Q17" s="68"/>
      <c r="R17" s="84"/>
      <c r="S17" s="84"/>
      <c r="T17" s="84"/>
      <c r="U17" s="84"/>
      <c r="V17" s="85"/>
      <c r="W17" s="85"/>
      <c r="X17" s="85"/>
      <c r="Y17" s="85">
        <v>1</v>
      </c>
      <c r="Z17" s="85"/>
      <c r="AA17" s="85"/>
      <c r="AB17" s="71">
        <f t="shared" si="17"/>
        <v>3</v>
      </c>
      <c r="AC17" s="72">
        <f t="shared" si="18"/>
      </c>
      <c r="AD17" s="73">
        <f t="shared" si="9"/>
        <v>70000</v>
      </c>
      <c r="AE17" s="74"/>
      <c r="AF17" s="19"/>
      <c r="AG17" s="75">
        <v>3</v>
      </c>
      <c r="AH17" s="52">
        <f t="shared" si="10"/>
        <v>8</v>
      </c>
      <c r="AI17" s="52">
        <f t="shared" si="11"/>
        <v>2</v>
      </c>
      <c r="AJ17" s="52">
        <f t="shared" si="12"/>
        <v>3</v>
      </c>
      <c r="AK17" s="52">
        <f t="shared" si="13"/>
        <v>7</v>
      </c>
      <c r="AL17" s="35">
        <f t="shared" si="14"/>
        <v>70000</v>
      </c>
      <c r="AM17" s="35"/>
      <c r="AN17" s="29">
        <v>15</v>
      </c>
      <c r="AO17" s="30" t="s">
        <v>164</v>
      </c>
      <c r="AP17" s="31">
        <v>7</v>
      </c>
      <c r="AQ17" s="31">
        <v>3</v>
      </c>
      <c r="AR17" s="31">
        <v>3</v>
      </c>
      <c r="AS17" s="31">
        <v>7</v>
      </c>
      <c r="AT17" s="32" t="s">
        <v>391</v>
      </c>
      <c r="AU17" s="33">
        <v>50000</v>
      </c>
      <c r="AV17" s="33" t="s">
        <v>392</v>
      </c>
      <c r="AW17" s="33" t="s">
        <v>27</v>
      </c>
      <c r="AX17" s="33">
        <v>1</v>
      </c>
      <c r="AY17" s="100"/>
      <c r="AZ17" s="34">
        <v>14</v>
      </c>
      <c r="BA17" s="58" t="s">
        <v>41</v>
      </c>
      <c r="BB17" s="33">
        <v>70000</v>
      </c>
      <c r="BC17" s="33"/>
      <c r="BD17" s="36">
        <f t="shared" si="15"/>
        <v>15</v>
      </c>
      <c r="BE17" s="37" t="str">
        <f t="shared" si="16"/>
        <v>**Joe Kane</v>
      </c>
      <c r="BF17" s="38" t="str">
        <f>HLOOKUP(K$24,BI$4:CF$23,15,FALSE)</f>
        <v>**Joe Kane</v>
      </c>
      <c r="BG17" s="33"/>
      <c r="BH17" s="34"/>
      <c r="BI17" s="6" t="s">
        <v>393</v>
      </c>
      <c r="BJ17" s="30"/>
      <c r="BK17"/>
      <c r="BL17" s="30" t="s">
        <v>351</v>
      </c>
      <c r="BM17" s="6" t="s">
        <v>394</v>
      </c>
      <c r="BN17" s="6" t="s">
        <v>395</v>
      </c>
      <c r="BO17" s="6" t="s">
        <v>396</v>
      </c>
      <c r="BP17" s="30" t="s">
        <v>397</v>
      </c>
      <c r="BQ17" s="30"/>
      <c r="BR17" s="6" t="s">
        <v>398</v>
      </c>
      <c r="BS17" s="6" t="s">
        <v>376</v>
      </c>
      <c r="BT17" s="30"/>
      <c r="BU17" s="30"/>
      <c r="BV17" s="6" t="s">
        <v>356</v>
      </c>
      <c r="BW17" s="92" t="s">
        <v>399</v>
      </c>
      <c r="BX17" s="6" t="s">
        <v>377</v>
      </c>
      <c r="BY17"/>
      <c r="BZ17" s="30" t="s">
        <v>400</v>
      </c>
      <c r="CA17" s="6" t="s">
        <v>401</v>
      </c>
      <c r="CB17" s="30"/>
      <c r="CC17" s="30" t="s">
        <v>402</v>
      </c>
      <c r="CD17"/>
      <c r="CE17" s="30"/>
      <c r="CF17" s="6" t="s">
        <v>396</v>
      </c>
      <c r="CG17" s="40"/>
      <c r="CH17" s="29">
        <v>15</v>
      </c>
      <c r="CI17" s="30" t="s">
        <v>188</v>
      </c>
      <c r="CJ17" s="31">
        <v>7</v>
      </c>
      <c r="CK17" s="31">
        <v>3</v>
      </c>
      <c r="CL17" s="31">
        <v>3</v>
      </c>
      <c r="CM17" s="31">
        <v>7</v>
      </c>
      <c r="CN17" s="32" t="s">
        <v>403</v>
      </c>
      <c r="CO17" s="33">
        <v>80000</v>
      </c>
      <c r="CP17" s="10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9" ht="18" customHeight="1">
      <c r="B18" s="41"/>
      <c r="C18" s="76">
        <v>14</v>
      </c>
      <c r="D18" s="77"/>
      <c r="E18" s="78">
        <f t="shared" si="1"/>
      </c>
      <c r="F18" s="79">
        <f t="shared" si="2"/>
      </c>
      <c r="G18" s="79">
        <f t="shared" si="3"/>
      </c>
      <c r="H18" s="79">
        <f t="shared" si="4"/>
      </c>
      <c r="I18" s="79">
        <f t="shared" si="5"/>
      </c>
      <c r="J18" s="80">
        <f>IF(E18="","",IF(COUNTIF(E5:E20,E18)&gt;VLOOKUP(E18,AO:AX,10,FALSE),"ERRORE! TROPPI GIOCATORI IN QUESTO RUOLO!",VLOOKUP(E18,AO:AU,6,FALSE)))</f>
      </c>
      <c r="K18" s="81"/>
      <c r="L18" s="82"/>
      <c r="M18" s="82"/>
      <c r="N18" s="83">
        <f t="shared" si="6"/>
      </c>
      <c r="O18" s="83">
        <f t="shared" si="7"/>
      </c>
      <c r="P18" s="83">
        <f t="shared" si="8"/>
      </c>
      <c r="Q18" s="68"/>
      <c r="R18" s="84"/>
      <c r="S18" s="84"/>
      <c r="T18" s="84"/>
      <c r="U18" s="84"/>
      <c r="V18" s="85"/>
      <c r="W18" s="85"/>
      <c r="X18" s="85"/>
      <c r="Y18" s="85"/>
      <c r="Z18" s="85"/>
      <c r="AA18" s="85"/>
      <c r="AB18" s="71">
        <f t="shared" si="17"/>
        <v>0</v>
      </c>
      <c r="AC18" s="72">
        <f t="shared" si="18"/>
      </c>
      <c r="AD18" s="73">
        <f t="shared" si="9"/>
        <v>0</v>
      </c>
      <c r="AE18" s="74"/>
      <c r="AF18" s="19"/>
      <c r="AG18" s="75">
        <v>1</v>
      </c>
      <c r="AH18" s="52" t="e">
        <f t="shared" si="10"/>
        <v>#N/A</v>
      </c>
      <c r="AI18" s="52" t="e">
        <f t="shared" si="11"/>
        <v>#N/A</v>
      </c>
      <c r="AJ18" s="52" t="e">
        <f t="shared" si="12"/>
        <v>#N/A</v>
      </c>
      <c r="AK18" s="52" t="e">
        <f t="shared" si="13"/>
        <v>#N/A</v>
      </c>
      <c r="AL18" s="35">
        <f t="shared" si="14"/>
        <v>0</v>
      </c>
      <c r="AM18" s="35"/>
      <c r="AN18" s="29">
        <v>16</v>
      </c>
      <c r="AO18" s="30" t="s">
        <v>211</v>
      </c>
      <c r="AP18" s="31">
        <v>6</v>
      </c>
      <c r="AQ18" s="31">
        <v>3</v>
      </c>
      <c r="AR18" s="31">
        <v>4</v>
      </c>
      <c r="AS18" s="31">
        <v>8</v>
      </c>
      <c r="AT18" s="32" t="s">
        <v>391</v>
      </c>
      <c r="AU18" s="33">
        <v>70000</v>
      </c>
      <c r="AV18" s="33" t="s">
        <v>404</v>
      </c>
      <c r="AW18" s="33" t="s">
        <v>109</v>
      </c>
      <c r="AX18" s="33">
        <v>1</v>
      </c>
      <c r="AY18" s="100"/>
      <c r="AZ18" s="34">
        <v>15</v>
      </c>
      <c r="BA18" s="59" t="s">
        <v>42</v>
      </c>
      <c r="BB18" s="33">
        <v>60000</v>
      </c>
      <c r="BC18" s="33"/>
      <c r="BD18" s="36">
        <f t="shared" si="15"/>
        <v>16</v>
      </c>
      <c r="BE18" s="37" t="str">
        <f t="shared" si="16"/>
        <v>**John Norum</v>
      </c>
      <c r="BF18" s="38" t="str">
        <f>HLOOKUP(K$24,BI$4:CF$23,16,FALSE)</f>
        <v>**John Norum</v>
      </c>
      <c r="BG18" s="33"/>
      <c r="BH18" s="34"/>
      <c r="BJ18" s="30"/>
      <c r="BK18"/>
      <c r="BL18" s="30" t="s">
        <v>405</v>
      </c>
      <c r="BM18" s="30"/>
      <c r="BN18" s="6" t="s">
        <v>406</v>
      </c>
      <c r="BO18" s="6" t="s">
        <v>398</v>
      </c>
      <c r="BP18" s="6" t="s">
        <v>367</v>
      </c>
      <c r="BQ18" s="30"/>
      <c r="BR18" s="6" t="s">
        <v>407</v>
      </c>
      <c r="BS18" s="6" t="s">
        <v>393</v>
      </c>
      <c r="BT18" s="30"/>
      <c r="BU18" s="30"/>
      <c r="BV18" s="6" t="s">
        <v>371</v>
      </c>
      <c r="BW18" s="6" t="s">
        <v>376</v>
      </c>
      <c r="BX18" s="30"/>
      <c r="BY18" s="30"/>
      <c r="BZ18" s="6" t="s">
        <v>367</v>
      </c>
      <c r="CA18" s="6" t="s">
        <v>408</v>
      </c>
      <c r="CB18" s="30"/>
      <c r="CC18" s="6" t="s">
        <v>356</v>
      </c>
      <c r="CD18"/>
      <c r="CE18" s="30"/>
      <c r="CF18" s="6" t="s">
        <v>398</v>
      </c>
      <c r="CG18" s="40"/>
      <c r="CH18" s="29">
        <v>16</v>
      </c>
      <c r="CI18" s="30" t="s">
        <v>233</v>
      </c>
      <c r="CJ18" s="31">
        <v>6</v>
      </c>
      <c r="CK18" s="31">
        <v>3</v>
      </c>
      <c r="CL18" s="31">
        <v>4</v>
      </c>
      <c r="CM18" s="31">
        <v>8</v>
      </c>
      <c r="CN18" s="32" t="s">
        <v>403</v>
      </c>
      <c r="CO18" s="33">
        <v>100000</v>
      </c>
      <c r="CP18" s="10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</row>
    <row r="19" spans="2:119" ht="18" customHeight="1">
      <c r="B19" s="41"/>
      <c r="C19" s="76">
        <v>15</v>
      </c>
      <c r="D19" s="77"/>
      <c r="E19" s="78">
        <f t="shared" si="1"/>
      </c>
      <c r="F19" s="79">
        <f t="shared" si="2"/>
      </c>
      <c r="G19" s="79">
        <f t="shared" si="3"/>
      </c>
      <c r="H19" s="79">
        <f t="shared" si="4"/>
      </c>
      <c r="I19" s="79">
        <f t="shared" si="5"/>
      </c>
      <c r="J19" s="80">
        <f>IF(E19="","",IF(COUNTIF(E5:E20,E19)&gt;VLOOKUP(E19,AO:AX,10,FALSE),"ERRORE! TROPPI GIOCATORI IN QUESTO RUOLO!",VLOOKUP(E19,AO:AU,6,FALSE)))</f>
      </c>
      <c r="K19" s="81"/>
      <c r="L19" s="82"/>
      <c r="M19" s="82"/>
      <c r="N19" s="83">
        <f t="shared" si="6"/>
      </c>
      <c r="O19" s="83">
        <f t="shared" si="7"/>
      </c>
      <c r="P19" s="83">
        <f t="shared" si="8"/>
      </c>
      <c r="Q19" s="68"/>
      <c r="R19" s="84"/>
      <c r="S19" s="84"/>
      <c r="T19" s="84"/>
      <c r="U19" s="84"/>
      <c r="V19" s="85"/>
      <c r="W19" s="85"/>
      <c r="X19" s="85"/>
      <c r="Y19" s="85"/>
      <c r="Z19" s="85"/>
      <c r="AA19" s="85"/>
      <c r="AB19" s="71">
        <f t="shared" si="17"/>
        <v>0</v>
      </c>
      <c r="AC19" s="72">
        <f t="shared" si="18"/>
      </c>
      <c r="AD19" s="73">
        <f t="shared" si="9"/>
        <v>0</v>
      </c>
      <c r="AE19" s="74"/>
      <c r="AF19" s="19"/>
      <c r="AG19" s="75">
        <v>1</v>
      </c>
      <c r="AH19" s="52" t="e">
        <f t="shared" si="10"/>
        <v>#N/A</v>
      </c>
      <c r="AI19" s="52" t="e">
        <f t="shared" si="11"/>
        <v>#N/A</v>
      </c>
      <c r="AJ19" s="52" t="e">
        <f t="shared" si="12"/>
        <v>#N/A</v>
      </c>
      <c r="AK19" s="52" t="e">
        <f t="shared" si="13"/>
        <v>#N/A</v>
      </c>
      <c r="AL19" s="35">
        <f t="shared" si="14"/>
        <v>0</v>
      </c>
      <c r="AM19" s="35"/>
      <c r="AN19" s="29">
        <v>17</v>
      </c>
      <c r="AO19" s="30" t="s">
        <v>253</v>
      </c>
      <c r="AP19" s="31">
        <v>4</v>
      </c>
      <c r="AQ19" s="31">
        <v>5</v>
      </c>
      <c r="AR19" s="31">
        <v>1</v>
      </c>
      <c r="AS19" s="31">
        <v>9</v>
      </c>
      <c r="AT19" s="32" t="s">
        <v>409</v>
      </c>
      <c r="AU19" s="33">
        <v>110000</v>
      </c>
      <c r="AV19" s="33" t="s">
        <v>349</v>
      </c>
      <c r="AW19" s="33" t="s">
        <v>350</v>
      </c>
      <c r="AX19" s="33">
        <v>1</v>
      </c>
      <c r="AY19" s="100"/>
      <c r="AZ19" s="34">
        <v>16</v>
      </c>
      <c r="BA19" s="58" t="s">
        <v>43</v>
      </c>
      <c r="BB19" s="33">
        <v>70000</v>
      </c>
      <c r="BC19" s="33"/>
      <c r="BD19" s="36">
        <f t="shared" si="15"/>
        <v>17</v>
      </c>
      <c r="BE19" s="37" t="str">
        <f t="shared" si="16"/>
        <v>**Marcelo Alejandro Otero</v>
      </c>
      <c r="BF19" s="38" t="str">
        <f>HLOOKUP(K$24,BI$4:CF$23,17,FALSE)</f>
        <v>**Marcelo Alejandro Otero</v>
      </c>
      <c r="BG19" s="33"/>
      <c r="BH19" s="34"/>
      <c r="BJ19" s="30"/>
      <c r="BK19" s="40"/>
      <c r="BL19"/>
      <c r="BM19" s="30"/>
      <c r="BN19" s="6" t="s">
        <v>410</v>
      </c>
      <c r="BO19" s="6" t="s">
        <v>407</v>
      </c>
      <c r="BP19" s="6" t="s">
        <v>411</v>
      </c>
      <c r="BQ19" s="39"/>
      <c r="BR19" s="6" t="s">
        <v>412</v>
      </c>
      <c r="BS19" s="6" t="s">
        <v>406</v>
      </c>
      <c r="BT19" s="30"/>
      <c r="BU19" s="30"/>
      <c r="BV19"/>
      <c r="BW19" s="6" t="s">
        <v>393</v>
      </c>
      <c r="BX19" s="30"/>
      <c r="BY19" s="30"/>
      <c r="BZ19" s="6" t="s">
        <v>413</v>
      </c>
      <c r="CA19" s="6" t="s">
        <v>414</v>
      </c>
      <c r="CB19" s="30"/>
      <c r="CC19" s="6" t="s">
        <v>371</v>
      </c>
      <c r="CD19"/>
      <c r="CE19" s="30"/>
      <c r="CF19" s="6" t="s">
        <v>407</v>
      </c>
      <c r="CG19" s="40"/>
      <c r="CH19" s="29">
        <v>17</v>
      </c>
      <c r="CI19" s="30" t="s">
        <v>269</v>
      </c>
      <c r="CJ19" s="31">
        <v>4</v>
      </c>
      <c r="CK19" s="31">
        <v>5</v>
      </c>
      <c r="CL19" s="31">
        <v>1</v>
      </c>
      <c r="CM19" s="31">
        <v>9</v>
      </c>
      <c r="CN19" s="32" t="s">
        <v>409</v>
      </c>
      <c r="CO19" s="33">
        <v>140000</v>
      </c>
      <c r="CP19" s="10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</row>
    <row r="20" spans="2:119" ht="18" customHeight="1">
      <c r="B20" s="41"/>
      <c r="C20" s="101">
        <v>16</v>
      </c>
      <c r="D20" s="102"/>
      <c r="E20" s="103">
        <f t="shared" si="1"/>
      </c>
      <c r="F20" s="104">
        <f t="shared" si="2"/>
      </c>
      <c r="G20" s="104">
        <f t="shared" si="3"/>
      </c>
      <c r="H20" s="104">
        <f t="shared" si="4"/>
      </c>
      <c r="I20" s="104">
        <f t="shared" si="5"/>
      </c>
      <c r="J20" s="105">
        <f>IF(E20="","",IF(COUNTIF(E5:E20,E20)&gt;VLOOKUP(E20,AO:AX,10,FALSE),"ERRORE! TROPPI GIOCATORI IN QUESTO RUOLO!",VLOOKUP(E20,AO:AU,6,FALSE)))</f>
      </c>
      <c r="K20" s="106"/>
      <c r="L20" s="107"/>
      <c r="M20" s="107"/>
      <c r="N20" s="108">
        <f t="shared" si="6"/>
      </c>
      <c r="O20" s="108">
        <f t="shared" si="7"/>
      </c>
      <c r="P20" s="108">
        <f t="shared" si="8"/>
      </c>
      <c r="Q20" s="68"/>
      <c r="R20" s="109"/>
      <c r="S20" s="109"/>
      <c r="T20" s="109"/>
      <c r="U20" s="109"/>
      <c r="V20" s="110"/>
      <c r="W20" s="110"/>
      <c r="X20" s="110"/>
      <c r="Y20" s="110"/>
      <c r="Z20" s="110"/>
      <c r="AA20" s="110"/>
      <c r="AB20" s="71">
        <f t="shared" si="17"/>
        <v>0</v>
      </c>
      <c r="AC20" s="72">
        <f t="shared" si="18"/>
      </c>
      <c r="AD20" s="73">
        <f>IF(L20&lt;&gt;"",(IF(L20="M","")),(AL20))</f>
        <v>0</v>
      </c>
      <c r="AE20" s="74"/>
      <c r="AF20" s="19"/>
      <c r="AG20" s="75">
        <v>1</v>
      </c>
      <c r="AH20" s="52" t="e">
        <f t="shared" si="10"/>
        <v>#N/A</v>
      </c>
      <c r="AI20" s="52" t="e">
        <f t="shared" si="11"/>
        <v>#N/A</v>
      </c>
      <c r="AJ20" s="52" t="e">
        <f t="shared" si="12"/>
        <v>#N/A</v>
      </c>
      <c r="AK20" s="52" t="e">
        <f t="shared" si="13"/>
        <v>#N/A</v>
      </c>
      <c r="AL20" s="35">
        <f t="shared" si="14"/>
        <v>0</v>
      </c>
      <c r="AM20" s="35"/>
      <c r="AN20" s="29">
        <v>18</v>
      </c>
      <c r="AO20" s="30" t="s">
        <v>287</v>
      </c>
      <c r="AP20" s="31">
        <v>5</v>
      </c>
      <c r="AQ20" s="31">
        <v>5</v>
      </c>
      <c r="AR20" s="31">
        <v>2</v>
      </c>
      <c r="AS20" s="31">
        <v>9</v>
      </c>
      <c r="AT20" s="32" t="s">
        <v>415</v>
      </c>
      <c r="AU20" s="33">
        <v>140000</v>
      </c>
      <c r="AV20" s="33" t="s">
        <v>349</v>
      </c>
      <c r="AW20" s="33" t="s">
        <v>350</v>
      </c>
      <c r="AX20" s="33">
        <v>1</v>
      </c>
      <c r="AY20" s="100"/>
      <c r="AZ20" s="34">
        <v>17</v>
      </c>
      <c r="BA20" s="58" t="s">
        <v>44</v>
      </c>
      <c r="BB20" s="33">
        <v>70000</v>
      </c>
      <c r="BC20" s="33"/>
      <c r="BD20" s="36">
        <f t="shared" si="15"/>
        <v>18</v>
      </c>
      <c r="BE20" s="37" t="str">
        <f t="shared" si="16"/>
        <v>**OJ Simpson</v>
      </c>
      <c r="BF20" s="38" t="str">
        <f>HLOOKUP(K$24,BI$4:CF$23,18,FALSE)</f>
        <v>**OJ Simpson</v>
      </c>
      <c r="BG20" s="33"/>
      <c r="BH20" s="34"/>
      <c r="BI20" s="6"/>
      <c r="BJ20" s="39"/>
      <c r="BK20" s="40"/>
      <c r="BL20"/>
      <c r="BM20" s="39"/>
      <c r="BN20" s="6" t="s">
        <v>416</v>
      </c>
      <c r="BO20" s="6" t="s">
        <v>412</v>
      </c>
      <c r="BP20" s="39"/>
      <c r="BQ20" s="39"/>
      <c r="BR20" s="39"/>
      <c r="BS20" s="6" t="s">
        <v>366</v>
      </c>
      <c r="BT20" s="30"/>
      <c r="BU20" s="30"/>
      <c r="BV20" s="40"/>
      <c r="BW20" s="40"/>
      <c r="BX20" s="40"/>
      <c r="BY20" s="30"/>
      <c r="BZ20" s="6" t="s">
        <v>411</v>
      </c>
      <c r="CA20" s="6" t="s">
        <v>417</v>
      </c>
      <c r="CB20" s="30"/>
      <c r="CC20" s="39"/>
      <c r="CD20"/>
      <c r="CE20" s="111"/>
      <c r="CF20" s="6" t="s">
        <v>412</v>
      </c>
      <c r="CG20" s="40"/>
      <c r="CH20" s="29">
        <v>18</v>
      </c>
      <c r="CI20" s="30" t="s">
        <v>300</v>
      </c>
      <c r="CJ20" s="31">
        <v>5</v>
      </c>
      <c r="CK20" s="31">
        <v>5</v>
      </c>
      <c r="CL20" s="31">
        <v>2</v>
      </c>
      <c r="CM20" s="31">
        <v>9</v>
      </c>
      <c r="CN20" s="32" t="s">
        <v>415</v>
      </c>
      <c r="CO20" s="33">
        <v>170000</v>
      </c>
      <c r="CP20" s="10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</row>
    <row r="21" spans="2:119" ht="17.25" customHeight="1">
      <c r="B21" s="41"/>
      <c r="C21" s="112" t="s">
        <v>418</v>
      </c>
      <c r="D21" s="112"/>
      <c r="E21" s="112" t="s">
        <v>419</v>
      </c>
      <c r="F21" s="112"/>
      <c r="G21" s="112"/>
      <c r="H21" s="112"/>
      <c r="I21" s="112"/>
      <c r="J21" s="113" t="s">
        <v>420</v>
      </c>
      <c r="K21" s="114">
        <f>ROUNDDOWN((AC28/10000),0)+ROUNDDOWN((SUM(AB5:AB20)/5),0)</f>
        <v>135</v>
      </c>
      <c r="L21" s="115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 t="s">
        <v>421</v>
      </c>
      <c r="AC21" s="118">
        <f>SUM(AD5:AD20)</f>
        <v>990000</v>
      </c>
      <c r="AD21" s="118"/>
      <c r="AE21" s="50"/>
      <c r="AF21" s="28"/>
      <c r="AG21" s="19"/>
      <c r="AH21" s="19"/>
      <c r="AI21" s="19"/>
      <c r="AJ21" s="19"/>
      <c r="AK21" s="19"/>
      <c r="AL21" s="19"/>
      <c r="AM21" s="19"/>
      <c r="AN21" s="29">
        <v>19</v>
      </c>
      <c r="AO21" s="86" t="s">
        <v>306</v>
      </c>
      <c r="AP21" s="87">
        <v>5</v>
      </c>
      <c r="AQ21" s="87">
        <v>5</v>
      </c>
      <c r="AR21" s="87">
        <v>2</v>
      </c>
      <c r="AS21" s="87">
        <v>8</v>
      </c>
      <c r="AT21" s="88" t="s">
        <v>283</v>
      </c>
      <c r="AU21" s="89">
        <v>150000</v>
      </c>
      <c r="AV21" s="89" t="s">
        <v>349</v>
      </c>
      <c r="AW21" s="89" t="s">
        <v>350</v>
      </c>
      <c r="AX21" s="89">
        <v>1</v>
      </c>
      <c r="AY21" s="100"/>
      <c r="AZ21" s="34">
        <v>18</v>
      </c>
      <c r="BA21" s="58" t="s">
        <v>45</v>
      </c>
      <c r="BB21" s="33">
        <v>60000</v>
      </c>
      <c r="BC21" s="33"/>
      <c r="BD21" s="36">
        <f t="shared" si="15"/>
        <v>19</v>
      </c>
      <c r="BE21" s="37" t="str">
        <f t="shared" si="16"/>
        <v>**Pedro Medina "The Chair"</v>
      </c>
      <c r="BF21" s="38" t="str">
        <f>HLOOKUP(K$24,BI$4:CF$23,19,FALSE)</f>
        <v>**Pedro Medina "The Chair"</v>
      </c>
      <c r="BG21" s="33"/>
      <c r="BH21" s="34"/>
      <c r="BJ21" s="39"/>
      <c r="BK21" s="40"/>
      <c r="BL21" s="40"/>
      <c r="BM21" s="39"/>
      <c r="BN21" s="40"/>
      <c r="BO21" s="6" t="s">
        <v>422</v>
      </c>
      <c r="BP21" s="39"/>
      <c r="BQ21" s="39"/>
      <c r="BR21" s="39"/>
      <c r="BS21" s="6" t="s">
        <v>408</v>
      </c>
      <c r="BT21" s="39"/>
      <c r="BU21" s="40"/>
      <c r="BV21" s="40"/>
      <c r="BW21" s="40"/>
      <c r="BX21" s="40"/>
      <c r="BY21" s="40"/>
      <c r="BZ21" s="6" t="s">
        <v>423</v>
      </c>
      <c r="CA21" s="40"/>
      <c r="CB21" s="40"/>
      <c r="CC21" s="39"/>
      <c r="CD21" s="39"/>
      <c r="CE21" s="40"/>
      <c r="CF21" s="6" t="s">
        <v>422</v>
      </c>
      <c r="CG21" s="40"/>
      <c r="CH21" s="29">
        <v>19</v>
      </c>
      <c r="CI21" s="86" t="s">
        <v>313</v>
      </c>
      <c r="CJ21" s="87">
        <v>5</v>
      </c>
      <c r="CK21" s="87">
        <v>5</v>
      </c>
      <c r="CL21" s="87">
        <v>2</v>
      </c>
      <c r="CM21" s="87">
        <v>8</v>
      </c>
      <c r="CN21" s="88" t="s">
        <v>283</v>
      </c>
      <c r="CO21" s="89">
        <v>180000</v>
      </c>
      <c r="CP21" s="10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</row>
    <row r="22" spans="2:119" ht="17.25" customHeight="1">
      <c r="B22" s="41"/>
      <c r="C22" s="119"/>
      <c r="D22" s="119"/>
      <c r="E22" s="120" t="s">
        <v>424</v>
      </c>
      <c r="F22" s="120"/>
      <c r="G22" s="120"/>
      <c r="H22" s="120"/>
      <c r="I22" s="120"/>
      <c r="J22" s="121" t="s">
        <v>425</v>
      </c>
      <c r="K22" s="122" t="s">
        <v>426</v>
      </c>
      <c r="L22" s="123"/>
      <c r="M22" s="124"/>
      <c r="N22" s="124"/>
      <c r="O22" s="124"/>
      <c r="P22" s="124"/>
      <c r="Q22" s="124"/>
      <c r="R22" s="124"/>
      <c r="S22" s="124"/>
      <c r="T22" s="124"/>
      <c r="U22" s="125" t="s">
        <v>427</v>
      </c>
      <c r="V22" s="126">
        <v>3</v>
      </c>
      <c r="W22" s="127" t="s">
        <v>428</v>
      </c>
      <c r="X22" s="128">
        <f>IF(K24&lt;&gt;"",VLOOKUP(K24,BA4:BB27,2,FALSE),0)</f>
        <v>50000</v>
      </c>
      <c r="Y22" s="128"/>
      <c r="Z22" s="128"/>
      <c r="AA22" s="128"/>
      <c r="AB22" s="129" t="s">
        <v>429</v>
      </c>
      <c r="AC22" s="130">
        <f>V22*X22</f>
        <v>150000</v>
      </c>
      <c r="AD22" s="130"/>
      <c r="AE22" s="50"/>
      <c r="AF22" s="28"/>
      <c r="AG22" s="19"/>
      <c r="AH22" s="19"/>
      <c r="AI22" s="19"/>
      <c r="AJ22" s="19"/>
      <c r="AK22" s="19"/>
      <c r="AL22" s="19"/>
      <c r="AM22" s="19"/>
      <c r="AN22" s="29">
        <v>20</v>
      </c>
      <c r="AO22" s="53" t="s">
        <v>62</v>
      </c>
      <c r="AP22" s="54">
        <v>6</v>
      </c>
      <c r="AQ22" s="54">
        <v>3</v>
      </c>
      <c r="AR22" s="54">
        <v>4</v>
      </c>
      <c r="AS22" s="54">
        <v>8</v>
      </c>
      <c r="AT22" s="55"/>
      <c r="AU22" s="56">
        <v>70000</v>
      </c>
      <c r="AV22" s="56" t="s">
        <v>108</v>
      </c>
      <c r="AW22" s="56" t="s">
        <v>109</v>
      </c>
      <c r="AX22" s="56">
        <v>16</v>
      </c>
      <c r="AY22" s="91" t="s">
        <v>32</v>
      </c>
      <c r="AZ22" s="34">
        <v>19</v>
      </c>
      <c r="BA22" s="59" t="s">
        <v>46</v>
      </c>
      <c r="BB22" s="33">
        <v>60000</v>
      </c>
      <c r="BC22" s="33"/>
      <c r="BD22" s="36">
        <f t="shared" si="15"/>
      </c>
      <c r="BE22" s="37">
        <f t="shared" si="16"/>
      </c>
      <c r="BF22" s="38">
        <f>HLOOKUP(K$24,BI$4:CF$23,20,FALSE)</f>
        <v>0</v>
      </c>
      <c r="BG22" s="33"/>
      <c r="BH22" s="34"/>
      <c r="BJ22" s="39"/>
      <c r="BK22" s="40"/>
      <c r="BL22" s="40"/>
      <c r="BM22" s="39"/>
      <c r="BN22" s="40"/>
      <c r="BO22" s="6" t="s">
        <v>394</v>
      </c>
      <c r="BP22" s="39"/>
      <c r="BQ22" s="39"/>
      <c r="BR22" s="39"/>
      <c r="BS22" s="6" t="s">
        <v>371</v>
      </c>
      <c r="BT22" s="39"/>
      <c r="BU22" s="40"/>
      <c r="BV22" s="40"/>
      <c r="BW22" s="40"/>
      <c r="BX22" s="40"/>
      <c r="BY22" s="40"/>
      <c r="BZ22" s="40"/>
      <c r="CA22" s="40"/>
      <c r="CB22" s="40"/>
      <c r="CC22" s="39"/>
      <c r="CD22" s="39"/>
      <c r="CE22" s="40"/>
      <c r="CF22" s="39"/>
      <c r="CG22" s="40"/>
      <c r="CH22" s="29">
        <v>20</v>
      </c>
      <c r="CI22" s="53" t="s">
        <v>85</v>
      </c>
      <c r="CJ22" s="54">
        <v>6</v>
      </c>
      <c r="CK22" s="54">
        <v>3</v>
      </c>
      <c r="CL22" s="54">
        <v>4</v>
      </c>
      <c r="CM22" s="54">
        <v>8</v>
      </c>
      <c r="CN22" s="55" t="s">
        <v>268</v>
      </c>
      <c r="CO22" s="56">
        <v>100000</v>
      </c>
      <c r="CP22" s="91" t="s">
        <v>32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</row>
    <row r="23" spans="2:119" ht="17.25" customHeight="1">
      <c r="B23" s="41"/>
      <c r="C23" s="131"/>
      <c r="D23" s="131"/>
      <c r="E23" s="120" t="s">
        <v>430</v>
      </c>
      <c r="F23" s="120"/>
      <c r="G23" s="120"/>
      <c r="H23" s="120"/>
      <c r="I23" s="120"/>
      <c r="J23" s="132" t="s">
        <v>431</v>
      </c>
      <c r="K23" s="133" t="s">
        <v>432</v>
      </c>
      <c r="L23" s="134"/>
      <c r="M23" s="135"/>
      <c r="N23" s="135"/>
      <c r="O23" s="135"/>
      <c r="P23" s="135"/>
      <c r="Q23" s="135"/>
      <c r="R23" s="135"/>
      <c r="S23" s="135"/>
      <c r="T23" s="135"/>
      <c r="U23" s="136" t="s">
        <v>433</v>
      </c>
      <c r="V23" s="137">
        <v>2</v>
      </c>
      <c r="W23" s="138" t="s">
        <v>428</v>
      </c>
      <c r="X23" s="139">
        <v>10000</v>
      </c>
      <c r="Y23" s="139"/>
      <c r="Z23" s="139"/>
      <c r="AA23" s="139"/>
      <c r="AB23" s="140" t="s">
        <v>429</v>
      </c>
      <c r="AC23" s="141">
        <f>V23*X23</f>
        <v>20000</v>
      </c>
      <c r="AD23" s="141"/>
      <c r="AE23" s="50"/>
      <c r="AF23" s="28"/>
      <c r="AG23" s="19"/>
      <c r="AH23" s="19"/>
      <c r="AI23" s="19"/>
      <c r="AJ23" s="19"/>
      <c r="AK23" s="19"/>
      <c r="AL23" s="19"/>
      <c r="AM23" s="19"/>
      <c r="AN23" s="29">
        <v>21</v>
      </c>
      <c r="AO23" s="30" t="s">
        <v>113</v>
      </c>
      <c r="AP23" s="31">
        <v>7</v>
      </c>
      <c r="AQ23" s="31">
        <v>3</v>
      </c>
      <c r="AR23" s="31">
        <v>4</v>
      </c>
      <c r="AS23" s="31">
        <v>7</v>
      </c>
      <c r="AT23" s="32" t="s">
        <v>434</v>
      </c>
      <c r="AU23" s="33">
        <v>80000</v>
      </c>
      <c r="AV23" s="33" t="s">
        <v>285</v>
      </c>
      <c r="AW23" s="33" t="s">
        <v>349</v>
      </c>
      <c r="AX23" s="33">
        <v>2</v>
      </c>
      <c r="AY23" s="91"/>
      <c r="AZ23" s="34">
        <v>20</v>
      </c>
      <c r="BA23" s="58" t="s">
        <v>47</v>
      </c>
      <c r="BB23" s="33">
        <v>50000</v>
      </c>
      <c r="BC23" s="33"/>
      <c r="BD23" s="34"/>
      <c r="BE23" s="33"/>
      <c r="BF23" s="38"/>
      <c r="BG23" s="33"/>
      <c r="BH23" s="34"/>
      <c r="BI23" s="39"/>
      <c r="BJ23" s="39"/>
      <c r="BK23" s="40"/>
      <c r="BL23" s="40"/>
      <c r="BM23" s="39"/>
      <c r="BN23" s="40"/>
      <c r="BO23" s="39"/>
      <c r="BP23" s="39"/>
      <c r="BQ23" s="39"/>
      <c r="BR23" s="39"/>
      <c r="BS23" s="40"/>
      <c r="BT23" s="39"/>
      <c r="BU23" s="40"/>
      <c r="BV23" s="40"/>
      <c r="BW23" s="40"/>
      <c r="BX23" s="40"/>
      <c r="BY23" s="40"/>
      <c r="BZ23" s="40"/>
      <c r="CA23" s="40"/>
      <c r="CB23" s="40"/>
      <c r="CC23" s="39"/>
      <c r="CD23" s="39"/>
      <c r="CE23" s="40"/>
      <c r="CF23" s="39"/>
      <c r="CG23" s="40"/>
      <c r="CH23" s="29">
        <v>21</v>
      </c>
      <c r="CI23" s="30" t="s">
        <v>137</v>
      </c>
      <c r="CJ23" s="31">
        <v>7</v>
      </c>
      <c r="CK23" s="31">
        <v>3</v>
      </c>
      <c r="CL23" s="31">
        <v>4</v>
      </c>
      <c r="CM23" s="31">
        <v>7</v>
      </c>
      <c r="CN23" s="32" t="s">
        <v>435</v>
      </c>
      <c r="CO23" s="33">
        <v>110000</v>
      </c>
      <c r="CP23" s="91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</row>
    <row r="24" spans="2:119" ht="17.25" customHeight="1">
      <c r="B24" s="41"/>
      <c r="C24" s="131"/>
      <c r="D24" s="131"/>
      <c r="E24" s="120" t="s">
        <v>436</v>
      </c>
      <c r="F24" s="120"/>
      <c r="G24" s="120"/>
      <c r="H24" s="120"/>
      <c r="I24" s="120"/>
      <c r="J24" s="132" t="s">
        <v>437</v>
      </c>
      <c r="K24" s="142" t="str">
        <f>VLOOKUP(AH24,AZ4:BA27,2,FALSE)</f>
        <v>Human</v>
      </c>
      <c r="L24" s="134"/>
      <c r="M24" s="135"/>
      <c r="N24" s="135"/>
      <c r="O24" s="135"/>
      <c r="P24" s="135"/>
      <c r="Q24" s="135"/>
      <c r="R24" s="135"/>
      <c r="S24" s="135"/>
      <c r="T24" s="135"/>
      <c r="U24" s="136" t="s">
        <v>438</v>
      </c>
      <c r="V24" s="137">
        <v>1</v>
      </c>
      <c r="W24" s="138" t="s">
        <v>428</v>
      </c>
      <c r="X24" s="139">
        <v>10000</v>
      </c>
      <c r="Y24" s="139"/>
      <c r="Z24" s="139"/>
      <c r="AA24" s="139"/>
      <c r="AB24" s="140" t="s">
        <v>429</v>
      </c>
      <c r="AC24" s="141">
        <f>V24*X24</f>
        <v>10000</v>
      </c>
      <c r="AD24" s="141"/>
      <c r="AE24" s="50"/>
      <c r="AF24" s="28"/>
      <c r="AG24" s="19"/>
      <c r="AH24" s="75">
        <v>11</v>
      </c>
      <c r="AI24" s="19"/>
      <c r="AJ24" s="19"/>
      <c r="AK24" s="19"/>
      <c r="AL24" s="19"/>
      <c r="AM24" s="19"/>
      <c r="AN24" s="29">
        <v>22</v>
      </c>
      <c r="AO24" s="30" t="s">
        <v>165</v>
      </c>
      <c r="AP24" s="31">
        <v>6</v>
      </c>
      <c r="AQ24" s="31">
        <v>3</v>
      </c>
      <c r="AR24" s="31">
        <v>4</v>
      </c>
      <c r="AS24" s="31">
        <v>7</v>
      </c>
      <c r="AT24" s="32" t="s">
        <v>439</v>
      </c>
      <c r="AU24" s="33">
        <v>90000</v>
      </c>
      <c r="AV24" s="33" t="s">
        <v>108</v>
      </c>
      <c r="AW24" s="33" t="s">
        <v>109</v>
      </c>
      <c r="AX24" s="33">
        <v>2</v>
      </c>
      <c r="AY24" s="91"/>
      <c r="AZ24" s="34">
        <v>21</v>
      </c>
      <c r="BA24" s="58" t="s">
        <v>48</v>
      </c>
      <c r="BB24" s="33">
        <v>70000</v>
      </c>
      <c r="BC24" s="33"/>
      <c r="BD24" s="34"/>
      <c r="BE24" s="33"/>
      <c r="BF24" s="38"/>
      <c r="BG24" s="33"/>
      <c r="BH24" s="34"/>
      <c r="BI24" s="39"/>
      <c r="BJ24" s="39"/>
      <c r="BK24" s="40"/>
      <c r="BL24" s="40"/>
      <c r="BM24" s="39"/>
      <c r="BN24" s="40"/>
      <c r="BO24" s="39"/>
      <c r="BP24" s="39"/>
      <c r="BQ24" s="39"/>
      <c r="BR24" s="39"/>
      <c r="BS24" s="40"/>
      <c r="BT24" s="39"/>
      <c r="BU24" s="40"/>
      <c r="BV24" s="40"/>
      <c r="BW24" s="40"/>
      <c r="BX24" s="40"/>
      <c r="BY24" s="40"/>
      <c r="BZ24" s="40"/>
      <c r="CA24" s="40"/>
      <c r="CB24" s="40"/>
      <c r="CC24" s="39"/>
      <c r="CD24" s="39"/>
      <c r="CE24" s="40"/>
      <c r="CF24" s="39"/>
      <c r="CG24" s="40"/>
      <c r="CH24" s="29">
        <v>22</v>
      </c>
      <c r="CI24" s="30" t="s">
        <v>189</v>
      </c>
      <c r="CJ24" s="31">
        <v>6</v>
      </c>
      <c r="CK24" s="31">
        <v>3</v>
      </c>
      <c r="CL24" s="31">
        <v>4</v>
      </c>
      <c r="CM24" s="31">
        <v>7</v>
      </c>
      <c r="CN24" s="32" t="s">
        <v>440</v>
      </c>
      <c r="CO24" s="33">
        <v>120000</v>
      </c>
      <c r="CP24" s="91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</row>
    <row r="25" spans="2:119" ht="17.25" customHeight="1">
      <c r="B25" s="41"/>
      <c r="C25" s="131"/>
      <c r="D25" s="131"/>
      <c r="E25" s="120" t="s">
        <v>441</v>
      </c>
      <c r="F25" s="120"/>
      <c r="G25" s="120"/>
      <c r="H25" s="120"/>
      <c r="I25" s="120"/>
      <c r="J25" s="143" t="s">
        <v>442</v>
      </c>
      <c r="K25" s="144" t="s">
        <v>443</v>
      </c>
      <c r="L25" s="134"/>
      <c r="M25" s="135"/>
      <c r="N25" s="135"/>
      <c r="O25" s="135"/>
      <c r="P25" s="135"/>
      <c r="Q25" s="135"/>
      <c r="R25" s="135"/>
      <c r="S25" s="135"/>
      <c r="T25" s="135"/>
      <c r="U25" s="136" t="s">
        <v>444</v>
      </c>
      <c r="V25" s="137">
        <v>0</v>
      </c>
      <c r="W25" s="138" t="s">
        <v>428</v>
      </c>
      <c r="X25" s="139">
        <v>10000</v>
      </c>
      <c r="Y25" s="139"/>
      <c r="Z25" s="139"/>
      <c r="AA25" s="139"/>
      <c r="AB25" s="140" t="s">
        <v>429</v>
      </c>
      <c r="AC25" s="141">
        <f>V25*X25</f>
        <v>0</v>
      </c>
      <c r="AD25" s="141"/>
      <c r="AE25" s="50"/>
      <c r="AF25" s="28"/>
      <c r="AG25" s="19"/>
      <c r="AH25" s="19"/>
      <c r="AI25" s="19"/>
      <c r="AJ25" s="19"/>
      <c r="AK25" s="19"/>
      <c r="AL25" s="19"/>
      <c r="AM25" s="19"/>
      <c r="AN25" s="29">
        <v>23</v>
      </c>
      <c r="AO25" s="30" t="s">
        <v>212</v>
      </c>
      <c r="AP25" s="31">
        <v>7</v>
      </c>
      <c r="AQ25" s="31">
        <v>3</v>
      </c>
      <c r="AR25" s="31">
        <v>4</v>
      </c>
      <c r="AS25" s="31">
        <v>8</v>
      </c>
      <c r="AT25" s="32" t="s">
        <v>348</v>
      </c>
      <c r="AU25" s="33">
        <v>100000</v>
      </c>
      <c r="AV25" s="33" t="s">
        <v>108</v>
      </c>
      <c r="AW25" s="33" t="s">
        <v>109</v>
      </c>
      <c r="AX25" s="33">
        <v>4</v>
      </c>
      <c r="AY25" s="91"/>
      <c r="AZ25" s="34">
        <v>22</v>
      </c>
      <c r="BA25" s="58" t="s">
        <v>49</v>
      </c>
      <c r="BB25" s="33">
        <v>70000</v>
      </c>
      <c r="BC25" s="33"/>
      <c r="BD25" s="34"/>
      <c r="BE25" s="33"/>
      <c r="BF25" s="38"/>
      <c r="BG25" s="33"/>
      <c r="BH25" s="34"/>
      <c r="BI25" s="39"/>
      <c r="BJ25" s="39"/>
      <c r="BK25" s="40"/>
      <c r="BL25" s="40"/>
      <c r="BM25" s="39"/>
      <c r="BN25" s="40"/>
      <c r="BO25" s="39"/>
      <c r="BP25" s="39"/>
      <c r="BQ25" s="39"/>
      <c r="BR25" s="39"/>
      <c r="BS25" s="40"/>
      <c r="BT25" s="39"/>
      <c r="BU25" s="40"/>
      <c r="BV25" s="40"/>
      <c r="BW25" s="40"/>
      <c r="BX25" s="40"/>
      <c r="BY25" s="40"/>
      <c r="BZ25" s="40"/>
      <c r="CA25" s="40"/>
      <c r="CB25" s="40"/>
      <c r="CC25" s="39"/>
      <c r="CD25" s="39"/>
      <c r="CE25" s="40"/>
      <c r="CF25" s="39"/>
      <c r="CG25" s="40"/>
      <c r="CH25" s="29">
        <v>23</v>
      </c>
      <c r="CI25" s="30" t="s">
        <v>234</v>
      </c>
      <c r="CJ25" s="31">
        <v>7</v>
      </c>
      <c r="CK25" s="31">
        <v>3</v>
      </c>
      <c r="CL25" s="31">
        <v>4</v>
      </c>
      <c r="CM25" s="31">
        <v>8</v>
      </c>
      <c r="CN25" s="32" t="s">
        <v>445</v>
      </c>
      <c r="CO25" s="33">
        <v>130000</v>
      </c>
      <c r="CP25" s="91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</row>
    <row r="26" spans="2:119" ht="17.25" customHeight="1">
      <c r="B26" s="41"/>
      <c r="C26" s="131"/>
      <c r="D26" s="131"/>
      <c r="E26" s="120" t="s">
        <v>446</v>
      </c>
      <c r="F26" s="120"/>
      <c r="G26" s="120"/>
      <c r="H26" s="120"/>
      <c r="I26" s="120"/>
      <c r="J26" s="143" t="s">
        <v>447</v>
      </c>
      <c r="K26" s="145"/>
      <c r="L26" s="134"/>
      <c r="M26" s="135"/>
      <c r="N26" s="135"/>
      <c r="O26" s="135"/>
      <c r="P26" s="135"/>
      <c r="Q26" s="135"/>
      <c r="R26" s="135"/>
      <c r="S26" s="135"/>
      <c r="T26" s="146"/>
      <c r="U26" s="136" t="str">
        <f>IF(K24="Undead","",(IF(K24="Necromantic","",(IF(K24="Khemri","",(IF(K24="Nurgle","","APOTECARIO")))))))</f>
        <v>APOTECARIO</v>
      </c>
      <c r="V26" s="147">
        <v>1</v>
      </c>
      <c r="W26" s="138" t="str">
        <f>IF(K24="Undead","",(IF(K24="Necromantic","",(IF(K24="Khemri","",(IF(K24="Nurgle","","x")))))))</f>
        <v>x</v>
      </c>
      <c r="X26" s="139">
        <f>IF(K24="Undead","",(IF(K24="Necromantic","",(IF(K24="Khemri","",(IF(K24="Nurgle","",50000)))))))</f>
        <v>50000</v>
      </c>
      <c r="Y26" s="139"/>
      <c r="Z26" s="139"/>
      <c r="AA26" s="139"/>
      <c r="AB26" s="140" t="str">
        <f>IF(K24="Undead","",(IF(K24="Necromantic","",(IF(K24="Khemri","",(IF(K24="Nurgle","","gp")))))))</f>
        <v>gp</v>
      </c>
      <c r="AC26" s="141">
        <f>IF(K24="Undead",0,(IF(K24="Necromantic",0,(IF(K24="Khemri",0,(IF(K24="Nurgle",0,(IF(V26&lt;&gt;1,0,50000)))))))))</f>
        <v>50000</v>
      </c>
      <c r="AD26" s="141"/>
      <c r="AE26" s="50"/>
      <c r="AF26" s="28"/>
      <c r="AG26" s="19"/>
      <c r="AH26" s="148"/>
      <c r="AI26" s="19"/>
      <c r="AJ26" s="19"/>
      <c r="AK26" s="19"/>
      <c r="AL26" s="19"/>
      <c r="AM26" s="19"/>
      <c r="AN26" s="29">
        <v>24</v>
      </c>
      <c r="AO26" s="86" t="s">
        <v>254</v>
      </c>
      <c r="AP26" s="87">
        <v>7</v>
      </c>
      <c r="AQ26" s="87">
        <v>3</v>
      </c>
      <c r="AR26" s="87">
        <v>4</v>
      </c>
      <c r="AS26" s="87">
        <v>7</v>
      </c>
      <c r="AT26" s="88" t="s">
        <v>448</v>
      </c>
      <c r="AU26" s="89">
        <v>110000</v>
      </c>
      <c r="AV26" s="89" t="s">
        <v>108</v>
      </c>
      <c r="AW26" s="89" t="s">
        <v>109</v>
      </c>
      <c r="AX26" s="89">
        <v>2</v>
      </c>
      <c r="AY26" s="91"/>
      <c r="AZ26" s="34">
        <v>23</v>
      </c>
      <c r="BA26" s="58" t="s">
        <v>50</v>
      </c>
      <c r="BB26" s="33">
        <v>70000</v>
      </c>
      <c r="BC26" s="33"/>
      <c r="BD26" s="34"/>
      <c r="BE26" s="33"/>
      <c r="BF26" s="38"/>
      <c r="BG26" s="33"/>
      <c r="BH26" s="34"/>
      <c r="BI26" s="39"/>
      <c r="BJ26" s="39"/>
      <c r="BK26" s="40"/>
      <c r="BL26" s="40"/>
      <c r="BM26" s="39"/>
      <c r="BN26" s="40"/>
      <c r="BO26" s="39"/>
      <c r="BP26" s="39"/>
      <c r="BQ26" s="39"/>
      <c r="BR26" s="39"/>
      <c r="BS26" s="40"/>
      <c r="BT26" s="39"/>
      <c r="BU26" s="40"/>
      <c r="BV26" s="40"/>
      <c r="BW26" s="40"/>
      <c r="BX26" s="40"/>
      <c r="BY26" s="40"/>
      <c r="BZ26" s="40"/>
      <c r="CA26" s="40"/>
      <c r="CB26" s="40"/>
      <c r="CC26" s="39"/>
      <c r="CD26" s="39"/>
      <c r="CE26" s="40"/>
      <c r="CF26" s="39"/>
      <c r="CG26" s="40"/>
      <c r="CH26" s="29">
        <v>24</v>
      </c>
      <c r="CI26" s="86" t="s">
        <v>270</v>
      </c>
      <c r="CJ26" s="87">
        <v>7</v>
      </c>
      <c r="CK26" s="87">
        <v>3</v>
      </c>
      <c r="CL26" s="87">
        <v>4</v>
      </c>
      <c r="CM26" s="87">
        <v>7</v>
      </c>
      <c r="CN26" s="88" t="s">
        <v>448</v>
      </c>
      <c r="CO26" s="89">
        <v>140000</v>
      </c>
      <c r="CP26" s="91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</row>
    <row r="27" spans="2:119" ht="17.25" customHeight="1">
      <c r="B27" s="41"/>
      <c r="C27" s="131"/>
      <c r="D27" s="131"/>
      <c r="E27" s="120" t="s">
        <v>449</v>
      </c>
      <c r="F27" s="120"/>
      <c r="G27" s="120"/>
      <c r="H27" s="120"/>
      <c r="I27" s="120"/>
      <c r="J27" s="149" t="s">
        <v>450</v>
      </c>
      <c r="K27" s="150">
        <v>80</v>
      </c>
      <c r="L27" s="11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 t="s">
        <v>451</v>
      </c>
      <c r="AC27" s="118">
        <f>SUM(AC22:AC26)</f>
        <v>230000</v>
      </c>
      <c r="AD27" s="118"/>
      <c r="AE27" s="50"/>
      <c r="AF27" s="28"/>
      <c r="AG27" s="19"/>
      <c r="AH27" s="19"/>
      <c r="AI27" s="19"/>
      <c r="AJ27" s="19"/>
      <c r="AK27" s="19"/>
      <c r="AL27" s="19"/>
      <c r="AM27" s="19"/>
      <c r="AN27" s="29">
        <v>25</v>
      </c>
      <c r="AO27" s="90" t="s">
        <v>63</v>
      </c>
      <c r="AP27" s="54">
        <v>4</v>
      </c>
      <c r="AQ27" s="54">
        <v>3</v>
      </c>
      <c r="AR27" s="54">
        <v>2</v>
      </c>
      <c r="AS27" s="54">
        <v>9</v>
      </c>
      <c r="AT27" s="55" t="s">
        <v>315</v>
      </c>
      <c r="AU27" s="97">
        <v>70000</v>
      </c>
      <c r="AV27" s="97" t="s">
        <v>160</v>
      </c>
      <c r="AW27" s="97" t="s">
        <v>161</v>
      </c>
      <c r="AX27" s="97">
        <v>16</v>
      </c>
      <c r="AY27" s="57" t="s">
        <v>33</v>
      </c>
      <c r="AZ27" s="34">
        <v>24</v>
      </c>
      <c r="BA27" s="59" t="s">
        <v>51</v>
      </c>
      <c r="BB27" s="33">
        <v>50000</v>
      </c>
      <c r="BC27" s="33"/>
      <c r="BD27" s="34"/>
      <c r="BE27" s="33"/>
      <c r="BF27" s="38"/>
      <c r="BG27" s="33"/>
      <c r="BH27" s="34"/>
      <c r="BI27" s="39"/>
      <c r="BJ27" s="39"/>
      <c r="BK27" s="40"/>
      <c r="BL27" s="40"/>
      <c r="BM27" s="39"/>
      <c r="BN27" s="40"/>
      <c r="BO27" s="39"/>
      <c r="BP27" s="39"/>
      <c r="BQ27" s="39"/>
      <c r="BR27" s="39"/>
      <c r="BS27" s="40"/>
      <c r="BT27" s="39"/>
      <c r="BU27" s="40"/>
      <c r="BV27" s="40"/>
      <c r="BW27" s="40"/>
      <c r="BX27" s="40"/>
      <c r="BY27" s="40"/>
      <c r="BZ27" s="40"/>
      <c r="CA27" s="40"/>
      <c r="CB27" s="40"/>
      <c r="CC27" s="39"/>
      <c r="CD27" s="39"/>
      <c r="CE27" s="40"/>
      <c r="CF27" s="39"/>
      <c r="CG27" s="40"/>
      <c r="CH27" s="29">
        <v>25</v>
      </c>
      <c r="CI27" s="90" t="s">
        <v>86</v>
      </c>
      <c r="CJ27" s="54">
        <v>4</v>
      </c>
      <c r="CK27" s="54">
        <v>3</v>
      </c>
      <c r="CL27" s="54">
        <v>2</v>
      </c>
      <c r="CM27" s="54">
        <v>9</v>
      </c>
      <c r="CN27" s="55" t="s">
        <v>330</v>
      </c>
      <c r="CO27" s="97">
        <v>100000</v>
      </c>
      <c r="CP27" s="57" t="s">
        <v>33</v>
      </c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</row>
    <row r="28" spans="2:119" ht="17.25" customHeight="1">
      <c r="B28" s="41"/>
      <c r="C28" s="151" t="s">
        <v>452</v>
      </c>
      <c r="D28" s="151"/>
      <c r="E28" s="152" t="s">
        <v>453</v>
      </c>
      <c r="F28" s="152"/>
      <c r="G28" s="152"/>
      <c r="H28" s="152"/>
      <c r="I28" s="152"/>
      <c r="J28" s="153" t="s">
        <v>454</v>
      </c>
      <c r="K28" s="154"/>
      <c r="L28" s="115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 t="s">
        <v>455</v>
      </c>
      <c r="AC28" s="155">
        <f>AC21+AC27</f>
        <v>1220000</v>
      </c>
      <c r="AD28" s="155"/>
      <c r="AE28" s="50"/>
      <c r="AF28" s="28"/>
      <c r="AG28" s="19"/>
      <c r="AH28" s="19"/>
      <c r="AI28" s="19"/>
      <c r="AJ28" s="19"/>
      <c r="AK28" s="19"/>
      <c r="AL28" s="19"/>
      <c r="AM28" s="19"/>
      <c r="AN28" s="29">
        <v>26</v>
      </c>
      <c r="AO28" s="92" t="s">
        <v>114</v>
      </c>
      <c r="AP28" s="31">
        <v>6</v>
      </c>
      <c r="AQ28" s="31">
        <v>3</v>
      </c>
      <c r="AR28" s="31">
        <v>3</v>
      </c>
      <c r="AS28" s="31">
        <v>8</v>
      </c>
      <c r="AT28" s="32" t="s">
        <v>456</v>
      </c>
      <c r="AU28" s="99">
        <v>80000</v>
      </c>
      <c r="AV28" s="99" t="s">
        <v>57</v>
      </c>
      <c r="AW28" s="99" t="s">
        <v>58</v>
      </c>
      <c r="AX28" s="99">
        <v>2</v>
      </c>
      <c r="AY28" s="57"/>
      <c r="AZ28" s="34">
        <v>25</v>
      </c>
      <c r="BC28" s="33"/>
      <c r="BD28" s="34"/>
      <c r="BE28" s="33"/>
      <c r="BF28" s="38"/>
      <c r="BG28" s="33"/>
      <c r="BH28" s="34"/>
      <c r="BI28" s="39"/>
      <c r="BJ28" s="39"/>
      <c r="BK28" s="40"/>
      <c r="BL28" s="40"/>
      <c r="BM28" s="39"/>
      <c r="BN28" s="40"/>
      <c r="BO28" s="39"/>
      <c r="BP28" s="39"/>
      <c r="BQ28" s="39"/>
      <c r="BR28" s="39"/>
      <c r="BS28" s="40"/>
      <c r="BT28" s="39"/>
      <c r="BU28" s="40"/>
      <c r="BV28" s="40"/>
      <c r="BW28" s="40"/>
      <c r="BX28" s="40"/>
      <c r="BY28" s="40"/>
      <c r="BZ28" s="40"/>
      <c r="CA28" s="40"/>
      <c r="CB28" s="40"/>
      <c r="CC28" s="39"/>
      <c r="CD28" s="39"/>
      <c r="CE28" s="40"/>
      <c r="CF28" s="39"/>
      <c r="CG28" s="40"/>
      <c r="CH28" s="29">
        <v>26</v>
      </c>
      <c r="CI28" s="92" t="s">
        <v>138</v>
      </c>
      <c r="CJ28" s="31">
        <v>6</v>
      </c>
      <c r="CK28" s="31">
        <v>3</v>
      </c>
      <c r="CL28" s="31">
        <v>3</v>
      </c>
      <c r="CM28" s="31">
        <v>8</v>
      </c>
      <c r="CN28" s="32" t="s">
        <v>457</v>
      </c>
      <c r="CO28" s="99">
        <v>110000</v>
      </c>
      <c r="CP28" s="57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</row>
    <row r="29" spans="2:119" ht="8.25" customHeight="1">
      <c r="B29" s="156"/>
      <c r="C29" s="157"/>
      <c r="D29" s="157"/>
      <c r="E29" s="158"/>
      <c r="F29" s="157"/>
      <c r="G29" s="157"/>
      <c r="H29" s="157"/>
      <c r="I29" s="157"/>
      <c r="J29" s="157"/>
      <c r="K29" s="157"/>
      <c r="L29" s="157"/>
      <c r="M29" s="157"/>
      <c r="N29" s="157"/>
      <c r="O29" s="159"/>
      <c r="P29" s="160"/>
      <c r="Q29" s="160"/>
      <c r="R29" s="160"/>
      <c r="S29" s="160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61"/>
      <c r="AF29" s="28"/>
      <c r="AG29" s="19"/>
      <c r="AH29" s="19"/>
      <c r="AI29" s="19"/>
      <c r="AJ29" s="19"/>
      <c r="AK29" s="19"/>
      <c r="AL29" s="19"/>
      <c r="AM29" s="19"/>
      <c r="AN29" s="29">
        <v>27</v>
      </c>
      <c r="AO29" s="92" t="s">
        <v>166</v>
      </c>
      <c r="AP29" s="98">
        <v>5</v>
      </c>
      <c r="AQ29" s="98">
        <v>3</v>
      </c>
      <c r="AR29" s="98">
        <v>3</v>
      </c>
      <c r="AS29" s="98">
        <v>9</v>
      </c>
      <c r="AT29" s="32" t="s">
        <v>458</v>
      </c>
      <c r="AU29" s="99">
        <v>80000</v>
      </c>
      <c r="AV29" s="99" t="s">
        <v>160</v>
      </c>
      <c r="AW29" s="99" t="s">
        <v>161</v>
      </c>
      <c r="AX29" s="99">
        <v>2</v>
      </c>
      <c r="AY29" s="57"/>
      <c r="AZ29" s="34"/>
      <c r="BA29" s="35"/>
      <c r="BB29" s="33"/>
      <c r="BC29" s="33"/>
      <c r="BD29" s="34"/>
      <c r="BE29" s="33"/>
      <c r="BF29" s="38"/>
      <c r="BG29" s="33"/>
      <c r="BH29" s="34"/>
      <c r="BI29" s="39"/>
      <c r="BJ29" s="39"/>
      <c r="BK29" s="40"/>
      <c r="BL29" s="40"/>
      <c r="BM29" s="39"/>
      <c r="BN29" s="40"/>
      <c r="BO29" s="39"/>
      <c r="BP29" s="39"/>
      <c r="BQ29" s="39"/>
      <c r="BR29" s="39"/>
      <c r="BS29" s="40"/>
      <c r="BT29" s="39"/>
      <c r="BU29" s="40"/>
      <c r="BV29" s="40"/>
      <c r="BW29" s="40"/>
      <c r="BX29" s="40"/>
      <c r="BY29" s="40"/>
      <c r="BZ29" s="40"/>
      <c r="CA29" s="40"/>
      <c r="CB29" s="40"/>
      <c r="CC29" s="39"/>
      <c r="CD29" s="39"/>
      <c r="CE29" s="40"/>
      <c r="CF29" s="39"/>
      <c r="CG29" s="40"/>
      <c r="CH29" s="29">
        <v>27</v>
      </c>
      <c r="CI29" s="92" t="s">
        <v>190</v>
      </c>
      <c r="CJ29" s="98">
        <v>5</v>
      </c>
      <c r="CK29" s="98">
        <v>3</v>
      </c>
      <c r="CL29" s="98">
        <v>3</v>
      </c>
      <c r="CM29" s="98">
        <v>9</v>
      </c>
      <c r="CN29" s="32" t="s">
        <v>459</v>
      </c>
      <c r="CO29" s="99">
        <v>110000</v>
      </c>
      <c r="CP29" s="57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spans="31:119" ht="9" customHeight="1">
      <c r="AE30" s="19"/>
      <c r="AF30" s="19"/>
      <c r="AG30" s="19"/>
      <c r="AH30" s="19"/>
      <c r="AI30" s="19"/>
      <c r="AJ30" s="19"/>
      <c r="AK30" s="19"/>
      <c r="AL30" s="19"/>
      <c r="AM30" s="19"/>
      <c r="AN30" s="29">
        <v>28</v>
      </c>
      <c r="AO30" s="92" t="s">
        <v>213</v>
      </c>
      <c r="AP30" s="98">
        <v>5</v>
      </c>
      <c r="AQ30" s="98">
        <v>3</v>
      </c>
      <c r="AR30" s="98">
        <v>2</v>
      </c>
      <c r="AS30" s="98">
        <v>8</v>
      </c>
      <c r="AT30" s="32" t="s">
        <v>460</v>
      </c>
      <c r="AU30" s="99">
        <v>90000</v>
      </c>
      <c r="AV30" s="99" t="s">
        <v>160</v>
      </c>
      <c r="AW30" s="99" t="s">
        <v>161</v>
      </c>
      <c r="AX30" s="99">
        <v>2</v>
      </c>
      <c r="AY30" s="57"/>
      <c r="AZ30" s="34"/>
      <c r="BA30" s="35"/>
      <c r="BB30" s="33"/>
      <c r="BC30" s="33"/>
      <c r="BD30" s="34"/>
      <c r="BE30" s="33"/>
      <c r="BF30" s="38"/>
      <c r="BG30" s="33"/>
      <c r="BH30" s="34"/>
      <c r="BI30" s="39"/>
      <c r="BJ30" s="39"/>
      <c r="BK30" s="40"/>
      <c r="BL30" s="40"/>
      <c r="BM30" s="39"/>
      <c r="BN30" s="40"/>
      <c r="BO30" s="39"/>
      <c r="BP30" s="39"/>
      <c r="BQ30" s="39"/>
      <c r="BR30" s="39"/>
      <c r="BS30" s="40"/>
      <c r="BT30" s="39"/>
      <c r="BU30" s="40"/>
      <c r="BV30" s="40"/>
      <c r="BW30" s="40"/>
      <c r="BX30" s="40"/>
      <c r="BY30" s="40"/>
      <c r="BZ30" s="40"/>
      <c r="CA30" s="40"/>
      <c r="CB30" s="40"/>
      <c r="CC30" s="39"/>
      <c r="CD30" s="39"/>
      <c r="CE30" s="40"/>
      <c r="CF30" s="39"/>
      <c r="CG30" s="40"/>
      <c r="CH30" s="29">
        <v>28</v>
      </c>
      <c r="CI30" s="92" t="s">
        <v>235</v>
      </c>
      <c r="CJ30" s="98">
        <v>5</v>
      </c>
      <c r="CK30" s="98">
        <v>3</v>
      </c>
      <c r="CL30" s="98">
        <v>2</v>
      </c>
      <c r="CM30" s="98">
        <v>8</v>
      </c>
      <c r="CN30" s="32" t="s">
        <v>461</v>
      </c>
      <c r="CO30" s="99">
        <v>120000</v>
      </c>
      <c r="CP30" s="57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</row>
    <row r="31" spans="2:119" ht="9" customHeight="1">
      <c r="B31" s="162"/>
      <c r="C31" s="163"/>
      <c r="D31" s="163"/>
      <c r="E31" s="164"/>
      <c r="F31" s="163"/>
      <c r="G31" s="163"/>
      <c r="H31" s="163"/>
      <c r="I31" s="163"/>
      <c r="J31" s="163"/>
      <c r="K31" s="163"/>
      <c r="L31" s="163"/>
      <c r="M31" s="163"/>
      <c r="N31" s="163"/>
      <c r="O31" s="165"/>
      <c r="P31" s="166"/>
      <c r="Q31" s="166"/>
      <c r="R31" s="166"/>
      <c r="S31" s="166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7"/>
      <c r="AF31" s="19"/>
      <c r="AG31" s="19"/>
      <c r="AH31" s="19"/>
      <c r="AI31" s="19"/>
      <c r="AJ31" s="19"/>
      <c r="AK31" s="19"/>
      <c r="AL31" s="19"/>
      <c r="AM31" s="19"/>
      <c r="AN31" s="29">
        <v>29</v>
      </c>
      <c r="AO31" s="168" t="s">
        <v>255</v>
      </c>
      <c r="AP31" s="169">
        <v>4</v>
      </c>
      <c r="AQ31" s="169">
        <v>7</v>
      </c>
      <c r="AR31" s="169">
        <v>1</v>
      </c>
      <c r="AS31" s="169">
        <v>10</v>
      </c>
      <c r="AT31" s="88" t="s">
        <v>462</v>
      </c>
      <c r="AU31" s="170">
        <v>160000</v>
      </c>
      <c r="AV31" s="170" t="s">
        <v>349</v>
      </c>
      <c r="AW31" s="170" t="s">
        <v>285</v>
      </c>
      <c r="AX31" s="170">
        <v>1</v>
      </c>
      <c r="AY31" s="57"/>
      <c r="AZ31" s="34"/>
      <c r="BA31" s="35"/>
      <c r="BB31" s="33"/>
      <c r="BC31" s="33"/>
      <c r="CG31" s="40"/>
      <c r="CH31" s="29">
        <v>29</v>
      </c>
      <c r="CI31" s="168" t="s">
        <v>271</v>
      </c>
      <c r="CJ31" s="169">
        <v>4</v>
      </c>
      <c r="CK31" s="169">
        <v>7</v>
      </c>
      <c r="CL31" s="169">
        <v>1</v>
      </c>
      <c r="CM31" s="169">
        <v>10</v>
      </c>
      <c r="CN31" s="88" t="s">
        <v>462</v>
      </c>
      <c r="CO31" s="170">
        <v>190000</v>
      </c>
      <c r="CP31" s="57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</row>
    <row r="32" spans="2:119" ht="18" customHeight="1">
      <c r="B32" s="171"/>
      <c r="C32" s="172" t="s">
        <v>463</v>
      </c>
      <c r="D32" s="172"/>
      <c r="E32" s="172"/>
      <c r="F32" s="172"/>
      <c r="G32" s="172"/>
      <c r="H32" s="172"/>
      <c r="I32" s="172"/>
      <c r="J32" s="172"/>
      <c r="K32" s="172"/>
      <c r="L32" s="172" t="s">
        <v>464</v>
      </c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74"/>
      <c r="AF32" s="19"/>
      <c r="AG32" s="19"/>
      <c r="AH32" s="19"/>
      <c r="AI32" s="19"/>
      <c r="AJ32" s="19"/>
      <c r="AK32" s="19"/>
      <c r="AL32" s="19"/>
      <c r="AM32" s="19"/>
      <c r="AN32" s="29">
        <v>30</v>
      </c>
      <c r="AO32" s="53" t="s">
        <v>64</v>
      </c>
      <c r="AP32" s="54">
        <v>6</v>
      </c>
      <c r="AQ32" s="54">
        <v>3</v>
      </c>
      <c r="AR32" s="54">
        <v>4</v>
      </c>
      <c r="AS32" s="54">
        <v>7</v>
      </c>
      <c r="AT32" s="55"/>
      <c r="AU32" s="56">
        <v>60000</v>
      </c>
      <c r="AV32" s="56" t="s">
        <v>108</v>
      </c>
      <c r="AW32" s="56" t="s">
        <v>109</v>
      </c>
      <c r="AX32" s="56">
        <v>16</v>
      </c>
      <c r="AY32" s="91" t="s">
        <v>34</v>
      </c>
      <c r="AZ32" s="34"/>
      <c r="BA32" s="35"/>
      <c r="BB32" s="33"/>
      <c r="BC32" s="33"/>
      <c r="CG32" s="40"/>
      <c r="CH32" s="29">
        <v>30</v>
      </c>
      <c r="CI32" s="53" t="s">
        <v>87</v>
      </c>
      <c r="CJ32" s="54">
        <v>6</v>
      </c>
      <c r="CK32" s="54">
        <v>3</v>
      </c>
      <c r="CL32" s="54">
        <v>4</v>
      </c>
      <c r="CM32" s="54">
        <v>7</v>
      </c>
      <c r="CN32" s="55" t="s">
        <v>268</v>
      </c>
      <c r="CO32" s="56">
        <v>90000</v>
      </c>
      <c r="CP32" s="91" t="s">
        <v>34</v>
      </c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</row>
    <row r="33" spans="2:119" ht="18" customHeight="1">
      <c r="B33" s="171"/>
      <c r="C33" s="60"/>
      <c r="D33" s="173" t="str">
        <f aca="true" t="shared" si="19" ref="D33:D40">IF(K33&lt;&gt;"",AL33+50000,AL33)</f>
        <v>0</v>
      </c>
      <c r="E33" s="62">
        <f aca="true" t="shared" si="20" ref="E33:E40">IF(AG33&lt;=1,"",VLOOKUP(AG33,CR$1:CS$65536,2,FALSE))</f>
      </c>
      <c r="F33" s="79">
        <f aca="true" t="shared" si="21" ref="F33:F40">IF(E33&lt;&gt;"",VLOOKUP(E33,$CI:$CO,2,FALSE),"")</f>
      </c>
      <c r="G33" s="79">
        <f aca="true" t="shared" si="22" ref="G33:G40">IF(E33&lt;&gt;"",VLOOKUP(E33,$CI:$CO,3,FALSE),"")</f>
      </c>
      <c r="H33" s="79">
        <f aca="true" t="shared" si="23" ref="H33:H40">IF(E33&lt;&gt;"",VLOOKUP(E33,$CI:$CO,4,FALSE),"")</f>
      </c>
      <c r="I33" s="79">
        <f aca="true" t="shared" si="24" ref="I33:I40">IF(E33&lt;&gt;"",VLOOKUP(E33,$CI:$CO,5,FALSE),"")</f>
      </c>
      <c r="J33" s="64">
        <f aca="true" t="shared" si="25" ref="J33:J40">IF(E33="","",VLOOKUP(E33,CI$1:CO$65536,6,FALSE))</f>
      </c>
      <c r="K33" s="65"/>
      <c r="L33" s="123"/>
      <c r="M33" s="124"/>
      <c r="N33" s="124"/>
      <c r="O33" s="124"/>
      <c r="P33" s="124"/>
      <c r="Q33" s="124"/>
      <c r="R33" s="124"/>
      <c r="S33" s="124"/>
      <c r="T33" s="124"/>
      <c r="U33" s="125" t="s">
        <v>465</v>
      </c>
      <c r="V33" s="174">
        <v>0</v>
      </c>
      <c r="W33" s="175" t="s">
        <v>428</v>
      </c>
      <c r="X33" s="128">
        <v>50000</v>
      </c>
      <c r="Y33" s="128"/>
      <c r="Z33" s="128"/>
      <c r="AA33" s="128"/>
      <c r="AB33" s="176" t="s">
        <v>429</v>
      </c>
      <c r="AC33" s="177">
        <f>V33*X33</f>
        <v>0</v>
      </c>
      <c r="AD33" s="177"/>
      <c r="AE33" s="178"/>
      <c r="AF33" s="19"/>
      <c r="AG33" s="75">
        <v>1</v>
      </c>
      <c r="AH33" s="52" t="e">
        <f aca="true" t="shared" si="26" ref="AH33:AH40">VLOOKUP(E33,$CI:$CO,2,FALSE)</f>
        <v>#N/A</v>
      </c>
      <c r="AI33" s="52" t="e">
        <f aca="true" t="shared" si="27" ref="AI33:AI40">VLOOKUP(E33,$CI:$CO,3,FALSE)</f>
        <v>#N/A</v>
      </c>
      <c r="AJ33" s="52" t="e">
        <f aca="true" t="shared" si="28" ref="AJ33:AJ40">VLOOKUP(E33,$CI:$CO,4,FALSE)</f>
        <v>#N/A</v>
      </c>
      <c r="AK33" s="52" t="e">
        <f aca="true" t="shared" si="29" ref="AK33:AK40">VLOOKUP(E33,$CI:$CO,5,FALSE)</f>
        <v>#N/A</v>
      </c>
      <c r="AL33" s="35" t="str">
        <f aca="true" t="shared" si="30" ref="AL33:AL40">(IF(E33&lt;&gt;"",VLOOKUP(E33,CI$1:CO$65536,7,FALSE),"0"))</f>
        <v>0</v>
      </c>
      <c r="AM33" s="19"/>
      <c r="AN33" s="29">
        <v>31</v>
      </c>
      <c r="AO33" s="30" t="s">
        <v>115</v>
      </c>
      <c r="AP33" s="31">
        <v>6</v>
      </c>
      <c r="AQ33" s="31">
        <v>3</v>
      </c>
      <c r="AR33" s="31">
        <v>4</v>
      </c>
      <c r="AS33" s="31">
        <v>7</v>
      </c>
      <c r="AT33" s="32" t="s">
        <v>466</v>
      </c>
      <c r="AU33" s="33">
        <v>70000</v>
      </c>
      <c r="AV33" s="33" t="s">
        <v>285</v>
      </c>
      <c r="AW33" s="33" t="s">
        <v>349</v>
      </c>
      <c r="AX33" s="33">
        <v>2</v>
      </c>
      <c r="AY33" s="91"/>
      <c r="AZ33" s="34"/>
      <c r="BA33" s="35"/>
      <c r="BB33" s="33"/>
      <c r="BC33" s="33"/>
      <c r="CG33" s="40"/>
      <c r="CH33" s="29">
        <v>31</v>
      </c>
      <c r="CI33" s="30" t="s">
        <v>139</v>
      </c>
      <c r="CJ33" s="31">
        <v>6</v>
      </c>
      <c r="CK33" s="31">
        <v>3</v>
      </c>
      <c r="CL33" s="31">
        <v>4</v>
      </c>
      <c r="CM33" s="31">
        <v>7</v>
      </c>
      <c r="CN33" s="32" t="s">
        <v>467</v>
      </c>
      <c r="CO33" s="33">
        <v>100000</v>
      </c>
      <c r="CP33" s="91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</row>
    <row r="34" spans="2:94" ht="18" customHeight="1">
      <c r="B34" s="171"/>
      <c r="C34" s="76"/>
      <c r="D34" s="179" t="str">
        <f t="shared" si="19"/>
        <v>0</v>
      </c>
      <c r="E34" s="78">
        <f t="shared" si="20"/>
      </c>
      <c r="F34" s="79">
        <f t="shared" si="21"/>
      </c>
      <c r="G34" s="79">
        <f t="shared" si="22"/>
      </c>
      <c r="H34" s="79">
        <f t="shared" si="23"/>
      </c>
      <c r="I34" s="79">
        <f t="shared" si="24"/>
      </c>
      <c r="J34" s="80">
        <f t="shared" si="25"/>
      </c>
      <c r="K34" s="81"/>
      <c r="L34" s="134"/>
      <c r="M34" s="135"/>
      <c r="N34" s="135"/>
      <c r="O34" s="135"/>
      <c r="P34" s="135"/>
      <c r="Q34" s="135"/>
      <c r="R34" s="135"/>
      <c r="S34" s="135"/>
      <c r="T34" s="135"/>
      <c r="U34" s="136" t="s">
        <v>468</v>
      </c>
      <c r="V34" s="137">
        <v>0</v>
      </c>
      <c r="W34" s="138" t="s">
        <v>428</v>
      </c>
      <c r="X34" s="139">
        <f>IF(K24="Goblin",50000,100000)</f>
        <v>100000</v>
      </c>
      <c r="Y34" s="139"/>
      <c r="Z34" s="139"/>
      <c r="AA34" s="139"/>
      <c r="AB34" s="140" t="s">
        <v>429</v>
      </c>
      <c r="AC34" s="180">
        <f aca="true" t="shared" si="31" ref="AC34:AC39">V34*X34</f>
        <v>0</v>
      </c>
      <c r="AD34" s="180"/>
      <c r="AE34" s="178"/>
      <c r="AG34" s="75">
        <v>1</v>
      </c>
      <c r="AH34" s="52" t="e">
        <f t="shared" si="26"/>
        <v>#N/A</v>
      </c>
      <c r="AI34" s="52" t="e">
        <f t="shared" si="27"/>
        <v>#N/A</v>
      </c>
      <c r="AJ34" s="52" t="e">
        <f t="shared" si="28"/>
        <v>#N/A</v>
      </c>
      <c r="AK34" s="52" t="e">
        <f t="shared" si="29"/>
        <v>#N/A</v>
      </c>
      <c r="AL34" s="35" t="str">
        <f t="shared" si="30"/>
        <v>0</v>
      </c>
      <c r="AM34" s="19"/>
      <c r="AN34" s="29">
        <v>32</v>
      </c>
      <c r="AO34" s="30" t="s">
        <v>167</v>
      </c>
      <c r="AP34" s="31">
        <v>8</v>
      </c>
      <c r="AQ34" s="31">
        <v>3</v>
      </c>
      <c r="AR34" s="31">
        <v>4</v>
      </c>
      <c r="AS34" s="31">
        <v>7</v>
      </c>
      <c r="AT34" s="32" t="s">
        <v>469</v>
      </c>
      <c r="AU34" s="33">
        <v>100000</v>
      </c>
      <c r="AV34" s="33" t="s">
        <v>108</v>
      </c>
      <c r="AW34" s="33" t="s">
        <v>109</v>
      </c>
      <c r="AX34" s="33">
        <v>4</v>
      </c>
      <c r="AY34" s="91"/>
      <c r="AZ34" s="34"/>
      <c r="BA34" s="35"/>
      <c r="BB34" s="33"/>
      <c r="BC34" s="33"/>
      <c r="CH34" s="29">
        <v>32</v>
      </c>
      <c r="CI34" s="30" t="s">
        <v>191</v>
      </c>
      <c r="CJ34" s="31">
        <v>8</v>
      </c>
      <c r="CK34" s="31">
        <v>3</v>
      </c>
      <c r="CL34" s="31">
        <v>4</v>
      </c>
      <c r="CM34" s="31">
        <v>7</v>
      </c>
      <c r="CN34" s="32" t="s">
        <v>470</v>
      </c>
      <c r="CO34" s="33">
        <v>130000</v>
      </c>
      <c r="CP34" s="91"/>
    </row>
    <row r="35" spans="2:94" ht="18" customHeight="1">
      <c r="B35" s="171"/>
      <c r="C35" s="76"/>
      <c r="D35" s="179" t="str">
        <f t="shared" si="19"/>
        <v>0</v>
      </c>
      <c r="E35" s="78">
        <f t="shared" si="20"/>
      </c>
      <c r="F35" s="79">
        <f t="shared" si="21"/>
      </c>
      <c r="G35" s="79">
        <f t="shared" si="22"/>
      </c>
      <c r="H35" s="79">
        <f t="shared" si="23"/>
      </c>
      <c r="I35" s="79">
        <f t="shared" si="24"/>
      </c>
      <c r="J35" s="80">
        <f t="shared" si="25"/>
      </c>
      <c r="K35" s="81"/>
      <c r="L35" s="134"/>
      <c r="M35" s="135"/>
      <c r="N35" s="135"/>
      <c r="O35" s="135"/>
      <c r="P35" s="135"/>
      <c r="Q35" s="135"/>
      <c r="R35" s="135"/>
      <c r="S35" s="135"/>
      <c r="T35" s="135"/>
      <c r="U35" s="136" t="s">
        <v>471</v>
      </c>
      <c r="V35" s="137">
        <v>0</v>
      </c>
      <c r="W35" s="138" t="s">
        <v>428</v>
      </c>
      <c r="X35" s="139">
        <v>100000</v>
      </c>
      <c r="Y35" s="139"/>
      <c r="Z35" s="139"/>
      <c r="AA35" s="139"/>
      <c r="AB35" s="140" t="s">
        <v>429</v>
      </c>
      <c r="AC35" s="180">
        <f t="shared" si="31"/>
        <v>0</v>
      </c>
      <c r="AD35" s="180"/>
      <c r="AE35" s="178"/>
      <c r="AG35" s="75">
        <v>1</v>
      </c>
      <c r="AH35" s="52" t="e">
        <f t="shared" si="26"/>
        <v>#N/A</v>
      </c>
      <c r="AI35" s="52" t="e">
        <f t="shared" si="27"/>
        <v>#N/A</v>
      </c>
      <c r="AJ35" s="52" t="e">
        <f t="shared" si="28"/>
        <v>#N/A</v>
      </c>
      <c r="AK35" s="52" t="e">
        <f t="shared" si="29"/>
        <v>#N/A</v>
      </c>
      <c r="AL35" s="35" t="str">
        <f t="shared" si="30"/>
        <v>0</v>
      </c>
      <c r="AM35" s="19"/>
      <c r="AN35" s="29">
        <v>33</v>
      </c>
      <c r="AO35" s="86" t="s">
        <v>214</v>
      </c>
      <c r="AP35" s="87">
        <v>7</v>
      </c>
      <c r="AQ35" s="87">
        <v>3</v>
      </c>
      <c r="AR35" s="87">
        <v>4</v>
      </c>
      <c r="AS35" s="87">
        <v>8</v>
      </c>
      <c r="AT35" s="88" t="s">
        <v>472</v>
      </c>
      <c r="AU35" s="89">
        <v>110000</v>
      </c>
      <c r="AV35" s="89" t="s">
        <v>108</v>
      </c>
      <c r="AW35" s="89" t="s">
        <v>109</v>
      </c>
      <c r="AX35" s="89">
        <v>2</v>
      </c>
      <c r="AY35" s="91"/>
      <c r="AZ35" s="34"/>
      <c r="BA35" s="32"/>
      <c r="BB35" s="33"/>
      <c r="BC35" s="33"/>
      <c r="CH35" s="29">
        <v>33</v>
      </c>
      <c r="CI35" s="86" t="s">
        <v>236</v>
      </c>
      <c r="CJ35" s="87">
        <v>7</v>
      </c>
      <c r="CK35" s="87">
        <v>3</v>
      </c>
      <c r="CL35" s="87">
        <v>4</v>
      </c>
      <c r="CM35" s="87">
        <v>8</v>
      </c>
      <c r="CN35" s="88" t="s">
        <v>473</v>
      </c>
      <c r="CO35" s="89">
        <v>140000</v>
      </c>
      <c r="CP35" s="91"/>
    </row>
    <row r="36" spans="2:94" ht="18" customHeight="1">
      <c r="B36" s="171"/>
      <c r="C36" s="76"/>
      <c r="D36" s="179" t="str">
        <f t="shared" si="19"/>
        <v>0</v>
      </c>
      <c r="E36" s="78">
        <f t="shared" si="20"/>
      </c>
      <c r="F36" s="79">
        <f t="shared" si="21"/>
      </c>
      <c r="G36" s="79">
        <f t="shared" si="22"/>
      </c>
      <c r="H36" s="79">
        <f t="shared" si="23"/>
      </c>
      <c r="I36" s="79">
        <f t="shared" si="24"/>
      </c>
      <c r="J36" s="80">
        <f t="shared" si="25"/>
      </c>
      <c r="K36" s="81"/>
      <c r="L36" s="134"/>
      <c r="M36" s="135"/>
      <c r="N36" s="135"/>
      <c r="O36" s="135"/>
      <c r="P36" s="135"/>
      <c r="Q36" s="135"/>
      <c r="R36" s="135"/>
      <c r="S36" s="135"/>
      <c r="T36" s="135"/>
      <c r="U36" s="136" t="s">
        <v>474</v>
      </c>
      <c r="V36" s="137">
        <v>0</v>
      </c>
      <c r="W36" s="138" t="s">
        <v>428</v>
      </c>
      <c r="X36" s="139">
        <f>IF(K24="Halfling",100000,300000)</f>
        <v>300000</v>
      </c>
      <c r="Y36" s="139"/>
      <c r="Z36" s="139"/>
      <c r="AA36" s="139"/>
      <c r="AB36" s="140" t="s">
        <v>429</v>
      </c>
      <c r="AC36" s="180">
        <f t="shared" si="31"/>
        <v>0</v>
      </c>
      <c r="AD36" s="180"/>
      <c r="AE36" s="178"/>
      <c r="AG36" s="75">
        <v>1</v>
      </c>
      <c r="AH36" s="52" t="e">
        <f t="shared" si="26"/>
        <v>#N/A</v>
      </c>
      <c r="AI36" s="52" t="e">
        <f t="shared" si="27"/>
        <v>#N/A</v>
      </c>
      <c r="AJ36" s="52" t="e">
        <f t="shared" si="28"/>
        <v>#N/A</v>
      </c>
      <c r="AK36" s="52" t="e">
        <f t="shared" si="29"/>
        <v>#N/A</v>
      </c>
      <c r="AL36" s="35" t="str">
        <f t="shared" si="30"/>
        <v>0</v>
      </c>
      <c r="AM36" s="19"/>
      <c r="AN36" s="29">
        <v>34</v>
      </c>
      <c r="AO36" s="53" t="s">
        <v>35</v>
      </c>
      <c r="AP36" s="54">
        <v>6</v>
      </c>
      <c r="AQ36" s="54">
        <v>2</v>
      </c>
      <c r="AR36" s="54">
        <v>3</v>
      </c>
      <c r="AS36" s="54">
        <v>7</v>
      </c>
      <c r="AT36" s="55" t="s">
        <v>475</v>
      </c>
      <c r="AU36" s="56">
        <v>40000</v>
      </c>
      <c r="AV36" s="56" t="s">
        <v>359</v>
      </c>
      <c r="AW36" s="56" t="s">
        <v>375</v>
      </c>
      <c r="AX36" s="56">
        <v>16</v>
      </c>
      <c r="AY36" s="57" t="s">
        <v>35</v>
      </c>
      <c r="AZ36" s="34"/>
      <c r="BA36" s="35"/>
      <c r="BB36" s="33"/>
      <c r="BC36" s="33"/>
      <c r="CH36" s="29">
        <v>34</v>
      </c>
      <c r="CI36" s="53" t="s">
        <v>88</v>
      </c>
      <c r="CJ36" s="54">
        <v>6</v>
      </c>
      <c r="CK36" s="54">
        <v>2</v>
      </c>
      <c r="CL36" s="54">
        <v>3</v>
      </c>
      <c r="CM36" s="54">
        <v>7</v>
      </c>
      <c r="CN36" s="55" t="s">
        <v>476</v>
      </c>
      <c r="CO36" s="56">
        <v>70000</v>
      </c>
      <c r="CP36" s="57" t="s">
        <v>35</v>
      </c>
    </row>
    <row r="37" spans="2:94" ht="18" customHeight="1">
      <c r="B37" s="171"/>
      <c r="C37" s="76"/>
      <c r="D37" s="179" t="str">
        <f t="shared" si="19"/>
        <v>0</v>
      </c>
      <c r="E37" s="78">
        <f t="shared" si="20"/>
      </c>
      <c r="F37" s="79">
        <f t="shared" si="21"/>
      </c>
      <c r="G37" s="79">
        <f t="shared" si="22"/>
      </c>
      <c r="H37" s="79">
        <f t="shared" si="23"/>
      </c>
      <c r="I37" s="79">
        <f t="shared" si="24"/>
      </c>
      <c r="J37" s="80">
        <f t="shared" si="25"/>
      </c>
      <c r="K37" s="81"/>
      <c r="L37" s="134"/>
      <c r="M37" s="135"/>
      <c r="N37" s="135"/>
      <c r="O37" s="135"/>
      <c r="P37" s="135"/>
      <c r="Q37" s="135"/>
      <c r="R37" s="135"/>
      <c r="S37" s="135"/>
      <c r="T37" s="181"/>
      <c r="U37" s="182">
        <f>IF(K24="Undead","IGOR [0-1]",(IF(K24="Necromantic","IGOR [0-1]",(IF(K24="Khemri","IGOR [0-1]",(IF(K24="Nurgle","IGOR [0-1]","")))))))</f>
      </c>
      <c r="V37" s="147">
        <v>0</v>
      </c>
      <c r="W37" s="138">
        <f>IF(K24="Undead","x",(IF(K24="Necromantic","x",(IF(K24="Khemri","x",(IF(K24="Nurgle","x","")))))))</f>
      </c>
      <c r="X37" s="139">
        <f>IF(K24="Undead",100000,(IF(K24="Necromantic",100000,(IF(K24="Khemri",100000,(IF(K24="Nurgle",100000,"")))))))</f>
      </c>
      <c r="Y37" s="139"/>
      <c r="Z37" s="139"/>
      <c r="AA37" s="139"/>
      <c r="AB37" s="140">
        <f>IF(K24="Undead","gp",(IF(K24="Necromantic","gp",(IF(K24="Khemri","gp",(IF(K24="Nurgle","gp","")))))))</f>
      </c>
      <c r="AC37" s="180">
        <f>IF(K24="Undead",V37*X37,(IF(K24="Necromantic",V37*X37,(IF(K24="Khemri",V37*X37,(IF(K24="Nurgle",V37*X37,0)))))))</f>
        <v>0</v>
      </c>
      <c r="AD37" s="180"/>
      <c r="AE37" s="178"/>
      <c r="AG37" s="75">
        <v>1</v>
      </c>
      <c r="AH37" s="52" t="e">
        <f t="shared" si="26"/>
        <v>#N/A</v>
      </c>
      <c r="AI37" s="52" t="e">
        <f t="shared" si="27"/>
        <v>#N/A</v>
      </c>
      <c r="AJ37" s="52" t="e">
        <f t="shared" si="28"/>
        <v>#N/A</v>
      </c>
      <c r="AK37" s="52" t="e">
        <f t="shared" si="29"/>
        <v>#N/A</v>
      </c>
      <c r="AL37" s="35" t="str">
        <f t="shared" si="30"/>
        <v>0</v>
      </c>
      <c r="AM37" s="19"/>
      <c r="AN37" s="29">
        <v>35</v>
      </c>
      <c r="AO37" s="30" t="s">
        <v>116</v>
      </c>
      <c r="AP37" s="31">
        <v>6</v>
      </c>
      <c r="AQ37" s="31">
        <v>2</v>
      </c>
      <c r="AR37" s="31">
        <v>3</v>
      </c>
      <c r="AS37" s="31">
        <v>7</v>
      </c>
      <c r="AT37" s="32" t="s">
        <v>477</v>
      </c>
      <c r="AU37" s="33">
        <v>40000</v>
      </c>
      <c r="AV37" s="33" t="s">
        <v>359</v>
      </c>
      <c r="AW37" s="33" t="s">
        <v>375</v>
      </c>
      <c r="AX37" s="33">
        <v>1</v>
      </c>
      <c r="AY37" s="57"/>
      <c r="AZ37" s="34"/>
      <c r="BA37" s="35"/>
      <c r="BB37" s="33"/>
      <c r="BC37" s="33"/>
      <c r="CH37" s="29">
        <v>35</v>
      </c>
      <c r="CI37" s="30" t="s">
        <v>140</v>
      </c>
      <c r="CJ37" s="31">
        <v>6</v>
      </c>
      <c r="CK37" s="31">
        <v>2</v>
      </c>
      <c r="CL37" s="31">
        <v>3</v>
      </c>
      <c r="CM37" s="31">
        <v>7</v>
      </c>
      <c r="CN37" s="32" t="s">
        <v>478</v>
      </c>
      <c r="CO37" s="33">
        <v>70000</v>
      </c>
      <c r="CP37" s="57"/>
    </row>
    <row r="38" spans="2:94" ht="18" customHeight="1">
      <c r="B38" s="171"/>
      <c r="C38" s="76"/>
      <c r="D38" s="179" t="str">
        <f t="shared" si="19"/>
        <v>0</v>
      </c>
      <c r="E38" s="78">
        <f t="shared" si="20"/>
      </c>
      <c r="F38" s="79">
        <f t="shared" si="21"/>
      </c>
      <c r="G38" s="79">
        <f t="shared" si="22"/>
      </c>
      <c r="H38" s="79">
        <f t="shared" si="23"/>
      </c>
      <c r="I38" s="79">
        <f t="shared" si="24"/>
      </c>
      <c r="J38" s="80">
        <f t="shared" si="25"/>
      </c>
      <c r="K38" s="81"/>
      <c r="L38" s="183"/>
      <c r="M38" s="181"/>
      <c r="N38" s="181"/>
      <c r="O38" s="181"/>
      <c r="P38" s="181"/>
      <c r="Q38" s="181"/>
      <c r="R38" s="181"/>
      <c r="S38" s="181"/>
      <c r="T38" s="181"/>
      <c r="U38" s="184" t="str">
        <f>IF(K24="Undead","",(IF(K24="Necromantic","",(IF(K24="Khemri","",(IF(K24="Nurgle","","WANDERING APOTHECARIES [0-2]")))))))</f>
        <v>WANDERING APOTHECARIES [0-2]</v>
      </c>
      <c r="V38" s="147">
        <v>0</v>
      </c>
      <c r="W38" s="185" t="str">
        <f>IF(K24="Undead","",(IF(K24="Necromantic","",(IF(K24="Khemri","",(IF(K24="Nurgle","","x")))))))</f>
        <v>x</v>
      </c>
      <c r="X38" s="186">
        <f>IF(K24="Undead","",(IF(K24="Necromantic","",(IF(K24="Khemri","",(IF(K24="Nurgle","",100000)))))))</f>
        <v>100000</v>
      </c>
      <c r="Y38" s="186"/>
      <c r="Z38" s="186"/>
      <c r="AA38" s="186"/>
      <c r="AB38" s="187" t="str">
        <f>IF(K24="Undead","",(IF(K24="Necromantic","",(IF(K24="Khemri","",(IF(K24="Nurgle","","gp")))))))</f>
        <v>gp</v>
      </c>
      <c r="AC38" s="180">
        <f>IF(K24="Undead",0,(IF(K24="Necromantic",0,(IF(K24="Khemri",0,(IF(K24="Nurgle",0,V38*X38)))))))</f>
        <v>0</v>
      </c>
      <c r="AD38" s="180"/>
      <c r="AE38" s="178"/>
      <c r="AG38" s="75">
        <v>1</v>
      </c>
      <c r="AH38" s="52" t="e">
        <f t="shared" si="26"/>
        <v>#N/A</v>
      </c>
      <c r="AI38" s="52" t="e">
        <f t="shared" si="27"/>
        <v>#N/A</v>
      </c>
      <c r="AJ38" s="52" t="e">
        <f t="shared" si="28"/>
        <v>#N/A</v>
      </c>
      <c r="AK38" s="52" t="e">
        <f t="shared" si="29"/>
        <v>#N/A</v>
      </c>
      <c r="AL38" s="35" t="str">
        <f t="shared" si="30"/>
        <v>0</v>
      </c>
      <c r="AM38" s="19"/>
      <c r="AN38" s="29">
        <v>36</v>
      </c>
      <c r="AO38" s="30" t="s">
        <v>168</v>
      </c>
      <c r="AP38" s="31">
        <v>6</v>
      </c>
      <c r="AQ38" s="31">
        <v>2</v>
      </c>
      <c r="AR38" s="31">
        <v>3</v>
      </c>
      <c r="AS38" s="31">
        <v>7</v>
      </c>
      <c r="AT38" s="32" t="s">
        <v>479</v>
      </c>
      <c r="AU38" s="33">
        <v>40000</v>
      </c>
      <c r="AV38" s="33" t="s">
        <v>359</v>
      </c>
      <c r="AW38" s="33" t="s">
        <v>375</v>
      </c>
      <c r="AX38" s="33">
        <v>1</v>
      </c>
      <c r="AY38" s="57"/>
      <c r="AZ38" s="34"/>
      <c r="BA38" s="35"/>
      <c r="BB38" s="33"/>
      <c r="BC38" s="33"/>
      <c r="CH38" s="29">
        <v>36</v>
      </c>
      <c r="CI38" s="30" t="s">
        <v>192</v>
      </c>
      <c r="CJ38" s="31">
        <v>6</v>
      </c>
      <c r="CK38" s="31">
        <v>2</v>
      </c>
      <c r="CL38" s="31">
        <v>3</v>
      </c>
      <c r="CM38" s="31">
        <v>7</v>
      </c>
      <c r="CN38" s="32" t="s">
        <v>480</v>
      </c>
      <c r="CO38" s="33">
        <v>70000</v>
      </c>
      <c r="CP38" s="57"/>
    </row>
    <row r="39" spans="2:94" ht="18" customHeight="1">
      <c r="B39" s="171"/>
      <c r="C39" s="76"/>
      <c r="D39" s="179" t="str">
        <f t="shared" si="19"/>
        <v>0</v>
      </c>
      <c r="E39" s="78">
        <f t="shared" si="20"/>
      </c>
      <c r="F39" s="79">
        <f t="shared" si="21"/>
      </c>
      <c r="G39" s="79">
        <f t="shared" si="22"/>
      </c>
      <c r="H39" s="79">
        <f t="shared" si="23"/>
      </c>
      <c r="I39" s="79">
        <f t="shared" si="24"/>
      </c>
      <c r="J39" s="80">
        <f t="shared" si="25"/>
      </c>
      <c r="K39" s="81"/>
      <c r="L39" s="188"/>
      <c r="M39" s="146"/>
      <c r="N39" s="146"/>
      <c r="O39" s="146"/>
      <c r="P39" s="146"/>
      <c r="Q39" s="146"/>
      <c r="R39" s="146"/>
      <c r="S39" s="146"/>
      <c r="T39" s="146"/>
      <c r="U39" s="189" t="s">
        <v>481</v>
      </c>
      <c r="V39" s="190">
        <v>0</v>
      </c>
      <c r="W39" s="191" t="str">
        <f>IF(K35="Undead","",(IF(K35="Necromantic","",(IF(K35="Khemri","",(IF(K35="Nurgle","","x")))))))</f>
        <v>x</v>
      </c>
      <c r="X39" s="192">
        <v>150000</v>
      </c>
      <c r="Y39" s="192"/>
      <c r="Z39" s="192"/>
      <c r="AA39" s="192"/>
      <c r="AB39" s="193" t="str">
        <f>IF(K35="Undead","",(IF(K35="Necromantic","",(IF(K35="Khemri","",(IF(K35="Nurgle",""," gp")))))))</f>
        <v> gp</v>
      </c>
      <c r="AC39" s="194">
        <f t="shared" si="31"/>
        <v>0</v>
      </c>
      <c r="AD39" s="194"/>
      <c r="AE39" s="178"/>
      <c r="AG39" s="75">
        <v>1</v>
      </c>
      <c r="AH39" s="52" t="e">
        <f t="shared" si="26"/>
        <v>#N/A</v>
      </c>
      <c r="AI39" s="52" t="e">
        <f t="shared" si="27"/>
        <v>#N/A</v>
      </c>
      <c r="AJ39" s="52" t="e">
        <f t="shared" si="28"/>
        <v>#N/A</v>
      </c>
      <c r="AK39" s="52" t="e">
        <f t="shared" si="29"/>
        <v>#N/A</v>
      </c>
      <c r="AL39" s="35" t="str">
        <f t="shared" si="30"/>
        <v>0</v>
      </c>
      <c r="AM39" s="19"/>
      <c r="AN39" s="29">
        <v>37</v>
      </c>
      <c r="AO39" s="30" t="s">
        <v>215</v>
      </c>
      <c r="AP39" s="31">
        <v>3</v>
      </c>
      <c r="AQ39" s="31">
        <v>7</v>
      </c>
      <c r="AR39" s="31">
        <v>3</v>
      </c>
      <c r="AS39" s="31">
        <v>7</v>
      </c>
      <c r="AT39" s="32" t="s">
        <v>482</v>
      </c>
      <c r="AU39" s="33">
        <v>70000</v>
      </c>
      <c r="AV39" s="33" t="s">
        <v>349</v>
      </c>
      <c r="AW39" s="33" t="s">
        <v>285</v>
      </c>
      <c r="AX39" s="33">
        <v>1</v>
      </c>
      <c r="AY39" s="57"/>
      <c r="AZ39" s="34"/>
      <c r="BA39" s="35"/>
      <c r="BB39" s="33"/>
      <c r="BC39" s="33"/>
      <c r="CH39" s="29">
        <v>37</v>
      </c>
      <c r="CI39" s="30" t="s">
        <v>237</v>
      </c>
      <c r="CJ39" s="31">
        <v>3</v>
      </c>
      <c r="CK39" s="31">
        <v>7</v>
      </c>
      <c r="CL39" s="31">
        <v>3</v>
      </c>
      <c r="CM39" s="31">
        <v>7</v>
      </c>
      <c r="CN39" s="32" t="s">
        <v>483</v>
      </c>
      <c r="CO39" s="33">
        <v>100000</v>
      </c>
      <c r="CP39" s="57"/>
    </row>
    <row r="40" spans="2:94" ht="18" customHeight="1">
      <c r="B40" s="171"/>
      <c r="C40" s="195"/>
      <c r="D40" s="196" t="str">
        <f t="shared" si="19"/>
        <v>0</v>
      </c>
      <c r="E40" s="197">
        <f t="shared" si="20"/>
      </c>
      <c r="F40" s="198">
        <f t="shared" si="21"/>
      </c>
      <c r="G40" s="198">
        <f t="shared" si="22"/>
      </c>
      <c r="H40" s="198">
        <f t="shared" si="23"/>
      </c>
      <c r="I40" s="198">
        <f t="shared" si="24"/>
      </c>
      <c r="J40" s="199">
        <f t="shared" si="25"/>
      </c>
      <c r="K40" s="200"/>
      <c r="L40" s="115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 t="s">
        <v>484</v>
      </c>
      <c r="AC40" s="118">
        <f>SUM(AC33:AC39)+SUM(D33:D40)</f>
        <v>0</v>
      </c>
      <c r="AD40" s="118"/>
      <c r="AE40" s="178"/>
      <c r="AG40" s="75">
        <v>1</v>
      </c>
      <c r="AH40" s="52" t="e">
        <f t="shared" si="26"/>
        <v>#N/A</v>
      </c>
      <c r="AI40" s="52" t="e">
        <f t="shared" si="27"/>
        <v>#N/A</v>
      </c>
      <c r="AJ40" s="52" t="e">
        <f t="shared" si="28"/>
        <v>#N/A</v>
      </c>
      <c r="AK40" s="52" t="e">
        <f t="shared" si="29"/>
        <v>#N/A</v>
      </c>
      <c r="AL40" s="35" t="str">
        <f t="shared" si="30"/>
        <v>0</v>
      </c>
      <c r="AN40" s="29">
        <v>38</v>
      </c>
      <c r="AO40" s="30" t="s">
        <v>257</v>
      </c>
      <c r="AP40" s="31">
        <v>7</v>
      </c>
      <c r="AQ40" s="31">
        <v>2</v>
      </c>
      <c r="AR40" s="31">
        <v>3</v>
      </c>
      <c r="AS40" s="31">
        <v>7</v>
      </c>
      <c r="AT40" s="32" t="s">
        <v>485</v>
      </c>
      <c r="AU40" s="33">
        <v>70000</v>
      </c>
      <c r="AV40" s="33" t="s">
        <v>359</v>
      </c>
      <c r="AW40" s="33" t="s">
        <v>375</v>
      </c>
      <c r="AX40" s="33">
        <v>1</v>
      </c>
      <c r="AY40" s="57"/>
      <c r="AZ40" s="34"/>
      <c r="BA40" s="35"/>
      <c r="BB40" s="33"/>
      <c r="BC40" s="33"/>
      <c r="BD40" s="36">
        <f>IF(BE40="","",CR11+1)</f>
      </c>
      <c r="BE40" s="37"/>
      <c r="BF40" s="38"/>
      <c r="BG40" s="33"/>
      <c r="BH40" s="34"/>
      <c r="BI40" s="30"/>
      <c r="BJ40" s="30"/>
      <c r="BK40" s="30"/>
      <c r="BL40" s="93"/>
      <c r="BM40" s="94"/>
      <c r="BN40" s="30"/>
      <c r="BO40" s="30"/>
      <c r="BP40" s="30"/>
      <c r="BQ40" s="30"/>
      <c r="BR40" s="95"/>
      <c r="BS40" s="93"/>
      <c r="BT40" s="30"/>
      <c r="BU40" s="30"/>
      <c r="BV40" s="95"/>
      <c r="BW40" s="30"/>
      <c r="BX40" s="30"/>
      <c r="BY40" s="30"/>
      <c r="BZ40" s="30"/>
      <c r="CA40" s="30"/>
      <c r="CB40" s="30"/>
      <c r="CC40" s="95"/>
      <c r="CD40" s="30"/>
      <c r="CE40" s="30"/>
      <c r="CF40" s="30"/>
      <c r="CH40" s="29">
        <v>38</v>
      </c>
      <c r="CI40" s="30" t="s">
        <v>272</v>
      </c>
      <c r="CJ40" s="31">
        <v>7</v>
      </c>
      <c r="CK40" s="31">
        <v>2</v>
      </c>
      <c r="CL40" s="31">
        <v>3</v>
      </c>
      <c r="CM40" s="31">
        <v>7</v>
      </c>
      <c r="CN40" s="32" t="s">
        <v>486</v>
      </c>
      <c r="CO40" s="33">
        <v>100000</v>
      </c>
      <c r="CP40" s="57"/>
    </row>
    <row r="41" spans="2:94" ht="9" customHeight="1">
      <c r="B41" s="201"/>
      <c r="C41" s="157"/>
      <c r="D41" s="157"/>
      <c r="E41" s="158"/>
      <c r="F41" s="157"/>
      <c r="G41" s="157"/>
      <c r="H41" s="157"/>
      <c r="I41" s="157"/>
      <c r="J41" s="157"/>
      <c r="K41" s="157"/>
      <c r="L41" s="157"/>
      <c r="M41" s="157"/>
      <c r="N41" s="157"/>
      <c r="O41" s="159"/>
      <c r="P41" s="160"/>
      <c r="Q41" s="160"/>
      <c r="R41" s="160"/>
      <c r="S41" s="160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202"/>
      <c r="AN41" s="29">
        <v>39</v>
      </c>
      <c r="AO41" s="86" t="s">
        <v>290</v>
      </c>
      <c r="AP41" s="87">
        <v>4</v>
      </c>
      <c r="AQ41" s="87">
        <v>5</v>
      </c>
      <c r="AR41" s="87">
        <v>1</v>
      </c>
      <c r="AS41" s="87">
        <v>9</v>
      </c>
      <c r="AT41" s="88" t="s">
        <v>409</v>
      </c>
      <c r="AU41" s="89">
        <v>110000</v>
      </c>
      <c r="AV41" s="89" t="s">
        <v>349</v>
      </c>
      <c r="AW41" s="89" t="s">
        <v>285</v>
      </c>
      <c r="AX41" s="89">
        <v>2</v>
      </c>
      <c r="AY41" s="57"/>
      <c r="AZ41" s="34"/>
      <c r="BA41" s="35"/>
      <c r="BB41" s="33"/>
      <c r="BC41" s="33"/>
      <c r="BD41" s="36">
        <f aca="true" t="shared" si="32" ref="BD41:BD50">IF(BE41="","",BD40+1)</f>
      </c>
      <c r="BE41" s="37"/>
      <c r="BF41" s="38"/>
      <c r="BG41" s="33"/>
      <c r="BH41" s="34"/>
      <c r="BI41" s="30"/>
      <c r="BJ41" s="93"/>
      <c r="BK41" s="30"/>
      <c r="BL41" s="30"/>
      <c r="BM41" s="95"/>
      <c r="BN41" s="30"/>
      <c r="BO41" s="30"/>
      <c r="BP41" s="30"/>
      <c r="BQ41" s="92"/>
      <c r="BR41" s="30"/>
      <c r="BS41" s="30"/>
      <c r="BT41" s="30"/>
      <c r="BU41" s="30"/>
      <c r="BV41" s="30"/>
      <c r="BW41" s="95"/>
      <c r="BX41" s="30"/>
      <c r="BY41" s="30"/>
      <c r="BZ41" s="30"/>
      <c r="CA41" s="30"/>
      <c r="CB41" s="30"/>
      <c r="CC41" s="30"/>
      <c r="CD41" s="30"/>
      <c r="CE41" s="30"/>
      <c r="CF41" s="30"/>
      <c r="CH41" s="29">
        <v>39</v>
      </c>
      <c r="CI41" s="86" t="s">
        <v>301</v>
      </c>
      <c r="CJ41" s="87">
        <v>4</v>
      </c>
      <c r="CK41" s="87">
        <v>5</v>
      </c>
      <c r="CL41" s="87">
        <v>1</v>
      </c>
      <c r="CM41" s="87">
        <v>9</v>
      </c>
      <c r="CN41" s="88" t="s">
        <v>409</v>
      </c>
      <c r="CO41" s="89">
        <v>140000</v>
      </c>
      <c r="CP41" s="57"/>
    </row>
    <row r="42" spans="39:94" ht="9" customHeight="1">
      <c r="AM42" s="203"/>
      <c r="AN42" s="29">
        <v>40</v>
      </c>
      <c r="AO42" s="90" t="s">
        <v>36</v>
      </c>
      <c r="AP42" s="54">
        <v>5</v>
      </c>
      <c r="AQ42" s="54">
        <v>2</v>
      </c>
      <c r="AR42" s="54">
        <v>3</v>
      </c>
      <c r="AS42" s="54">
        <v>6</v>
      </c>
      <c r="AT42" s="55" t="s">
        <v>475</v>
      </c>
      <c r="AU42" s="56">
        <v>30000</v>
      </c>
      <c r="AV42" s="56" t="s">
        <v>359</v>
      </c>
      <c r="AW42" s="56" t="s">
        <v>375</v>
      </c>
      <c r="AX42" s="56">
        <v>16</v>
      </c>
      <c r="AY42" s="91" t="s">
        <v>36</v>
      </c>
      <c r="AZ42" s="34"/>
      <c r="BA42" s="35"/>
      <c r="BB42" s="33"/>
      <c r="BC42" s="33"/>
      <c r="BD42" s="36">
        <f t="shared" si="32"/>
      </c>
      <c r="BE42" s="37"/>
      <c r="BF42" s="38"/>
      <c r="BG42" s="33"/>
      <c r="BH42" s="34"/>
      <c r="BI42" s="30"/>
      <c r="BJ42" s="30"/>
      <c r="BK42" s="30"/>
      <c r="BL42" s="30"/>
      <c r="BM42" s="30"/>
      <c r="BN42" s="30"/>
      <c r="BO42" s="95"/>
      <c r="BP42" s="30"/>
      <c r="BQ42" s="6"/>
      <c r="BR42" s="30"/>
      <c r="BS42" s="30"/>
      <c r="BT42" s="30"/>
      <c r="BU42" s="30"/>
      <c r="BV42" s="30"/>
      <c r="BW42" s="30"/>
      <c r="BX42" s="93"/>
      <c r="BY42" s="30"/>
      <c r="BZ42" s="30"/>
      <c r="CA42" s="30"/>
      <c r="CB42" s="30"/>
      <c r="CC42" s="30"/>
      <c r="CD42" s="30"/>
      <c r="CE42" s="6"/>
      <c r="CF42" s="30"/>
      <c r="CH42" s="29">
        <v>40</v>
      </c>
      <c r="CI42" s="90" t="s">
        <v>89</v>
      </c>
      <c r="CJ42" s="54">
        <v>5</v>
      </c>
      <c r="CK42" s="54">
        <v>2</v>
      </c>
      <c r="CL42" s="54">
        <v>3</v>
      </c>
      <c r="CM42" s="54">
        <v>6</v>
      </c>
      <c r="CN42" s="55" t="s">
        <v>476</v>
      </c>
      <c r="CO42" s="56">
        <v>60000</v>
      </c>
      <c r="CP42" s="91" t="s">
        <v>36</v>
      </c>
    </row>
    <row r="43" spans="33:94" ht="12.75" customHeight="1" hidden="1">
      <c r="AG43" s="203" t="s">
        <v>487</v>
      </c>
      <c r="AH43" s="203" t="s">
        <v>488</v>
      </c>
      <c r="AI43" s="203" t="s">
        <v>489</v>
      </c>
      <c r="AJ43" s="203" t="s">
        <v>490</v>
      </c>
      <c r="AK43" s="203" t="s">
        <v>491</v>
      </c>
      <c r="AL43" s="203" t="s">
        <v>492</v>
      </c>
      <c r="AM43" s="204"/>
      <c r="AN43" s="29">
        <v>41</v>
      </c>
      <c r="AO43" s="86" t="s">
        <v>117</v>
      </c>
      <c r="AP43" s="87">
        <v>2</v>
      </c>
      <c r="AQ43" s="87">
        <v>6</v>
      </c>
      <c r="AR43" s="87">
        <v>1</v>
      </c>
      <c r="AS43" s="87">
        <v>10</v>
      </c>
      <c r="AT43" s="88" t="s">
        <v>493</v>
      </c>
      <c r="AU43" s="89">
        <v>120000</v>
      </c>
      <c r="AV43" s="89" t="s">
        <v>349</v>
      </c>
      <c r="AW43" s="89" t="s">
        <v>285</v>
      </c>
      <c r="AX43" s="89">
        <v>2</v>
      </c>
      <c r="AY43" s="91"/>
      <c r="AZ43" s="34"/>
      <c r="BA43" s="35"/>
      <c r="BB43" s="33"/>
      <c r="BC43" s="33"/>
      <c r="BD43" s="36">
        <f t="shared" si="32"/>
      </c>
      <c r="BE43" s="37"/>
      <c r="BF43" s="38"/>
      <c r="BG43" s="33"/>
      <c r="BH43" s="34"/>
      <c r="BI43" s="92"/>
      <c r="BJ43" s="92"/>
      <c r="BK43" s="92"/>
      <c r="BL43" s="30"/>
      <c r="BM43" s="30"/>
      <c r="BN43" s="30"/>
      <c r="BO43" s="30"/>
      <c r="BP43" s="30"/>
      <c r="BQ43" s="30"/>
      <c r="BR43" s="30"/>
      <c r="BS43" s="30"/>
      <c r="BT43" s="30"/>
      <c r="BU43" s="6"/>
      <c r="BV43" s="30"/>
      <c r="BW43" s="30"/>
      <c r="BX43" s="30"/>
      <c r="BY43" s="6"/>
      <c r="BZ43" s="30"/>
      <c r="CA43" s="30"/>
      <c r="CB43" s="30"/>
      <c r="CC43" s="30"/>
      <c r="CD43" s="30"/>
      <c r="CE43" s="6"/>
      <c r="CF43" s="30"/>
      <c r="CH43" s="29">
        <v>41</v>
      </c>
      <c r="CI43" s="86" t="s">
        <v>141</v>
      </c>
      <c r="CJ43" s="87">
        <v>2</v>
      </c>
      <c r="CK43" s="87">
        <v>6</v>
      </c>
      <c r="CL43" s="87">
        <v>1</v>
      </c>
      <c r="CM43" s="87">
        <v>10</v>
      </c>
      <c r="CN43" s="88" t="s">
        <v>494</v>
      </c>
      <c r="CO43" s="89">
        <v>150000</v>
      </c>
      <c r="CP43" s="91"/>
    </row>
    <row r="44" spans="33:94" ht="12.75" customHeight="1" hidden="1">
      <c r="AG44" s="204" t="s">
        <v>495</v>
      </c>
      <c r="AH44" s="204" t="s">
        <v>496</v>
      </c>
      <c r="AI44" s="204" t="s">
        <v>497</v>
      </c>
      <c r="AJ44" s="204" t="s">
        <v>498</v>
      </c>
      <c r="AK44" s="204" t="s">
        <v>499</v>
      </c>
      <c r="AL44" s="204" t="s">
        <v>500</v>
      </c>
      <c r="AM44" s="204"/>
      <c r="AN44" s="29">
        <v>42</v>
      </c>
      <c r="AO44" s="53" t="s">
        <v>65</v>
      </c>
      <c r="AP44" s="54">
        <v>6</v>
      </c>
      <c r="AQ44" s="54">
        <v>3</v>
      </c>
      <c r="AR44" s="54">
        <v>4</v>
      </c>
      <c r="AS44" s="54">
        <v>8</v>
      </c>
      <c r="AT44" s="55"/>
      <c r="AU44" s="56">
        <v>70000</v>
      </c>
      <c r="AV44" s="56" t="s">
        <v>108</v>
      </c>
      <c r="AW44" s="56" t="s">
        <v>109</v>
      </c>
      <c r="AX44" s="56">
        <v>16</v>
      </c>
      <c r="AY44" s="57" t="s">
        <v>37</v>
      </c>
      <c r="AZ44" s="34"/>
      <c r="BA44" s="35"/>
      <c r="BB44" s="33"/>
      <c r="BC44" s="33"/>
      <c r="BD44" s="36">
        <f t="shared" si="32"/>
      </c>
      <c r="BE44" s="37"/>
      <c r="BF44" s="38"/>
      <c r="BG44" s="33"/>
      <c r="BH44" s="34"/>
      <c r="BI44" s="6"/>
      <c r="BJ44" s="6"/>
      <c r="BK44" s="6"/>
      <c r="BL44" s="30"/>
      <c r="BM44" s="30"/>
      <c r="BN44" s="92"/>
      <c r="BO44" s="6"/>
      <c r="BP44" s="30"/>
      <c r="BQ44" s="30"/>
      <c r="BR44" s="6"/>
      <c r="BS44" s="30"/>
      <c r="BT44"/>
      <c r="BU44" s="30"/>
      <c r="BV44" s="30"/>
      <c r="BW44" s="30"/>
      <c r="BX44" s="30"/>
      <c r="BY44"/>
      <c r="BZ44" s="30"/>
      <c r="CA44" s="30"/>
      <c r="CB44" s="30"/>
      <c r="CC44" s="30"/>
      <c r="CD44" s="30"/>
      <c r="CE44"/>
      <c r="CF44" s="30"/>
      <c r="CH44" s="29">
        <v>42</v>
      </c>
      <c r="CI44" s="53" t="s">
        <v>90</v>
      </c>
      <c r="CJ44" s="54">
        <v>6</v>
      </c>
      <c r="CK44" s="54">
        <v>3</v>
      </c>
      <c r="CL44" s="54">
        <v>4</v>
      </c>
      <c r="CM44" s="54">
        <v>8</v>
      </c>
      <c r="CN44" s="55" t="s">
        <v>268</v>
      </c>
      <c r="CO44" s="56">
        <v>100000</v>
      </c>
      <c r="CP44" s="57" t="s">
        <v>37</v>
      </c>
    </row>
    <row r="45" spans="33:94" ht="12.75" customHeight="1" hidden="1">
      <c r="AG45" s="204" t="s">
        <v>501</v>
      </c>
      <c r="AH45" s="204" t="s">
        <v>502</v>
      </c>
      <c r="AI45" s="204" t="s">
        <v>503</v>
      </c>
      <c r="AJ45" s="204" t="s">
        <v>504</v>
      </c>
      <c r="AK45" s="204" t="s">
        <v>505</v>
      </c>
      <c r="AL45" s="204" t="s">
        <v>391</v>
      </c>
      <c r="AM45" s="204"/>
      <c r="AN45" s="29">
        <v>43</v>
      </c>
      <c r="AO45" s="30" t="s">
        <v>118</v>
      </c>
      <c r="AP45" s="31">
        <v>6</v>
      </c>
      <c r="AQ45" s="31">
        <v>3</v>
      </c>
      <c r="AR45" s="31">
        <v>4</v>
      </c>
      <c r="AS45" s="31">
        <v>8</v>
      </c>
      <c r="AT45" s="32" t="s">
        <v>506</v>
      </c>
      <c r="AU45" s="33">
        <v>90000</v>
      </c>
      <c r="AV45" s="33" t="s">
        <v>285</v>
      </c>
      <c r="AW45" s="33" t="s">
        <v>349</v>
      </c>
      <c r="AX45" s="33">
        <v>2</v>
      </c>
      <c r="AY45" s="57"/>
      <c r="AZ45" s="34"/>
      <c r="BA45" s="35"/>
      <c r="BB45" s="33"/>
      <c r="BC45" s="33"/>
      <c r="BD45" s="36">
        <f t="shared" si="32"/>
      </c>
      <c r="BE45" s="37">
        <f aca="true" t="shared" si="33" ref="BE45:BE50">IF(BF45=0,"",BF45)</f>
      </c>
      <c r="BF45" s="38"/>
      <c r="BG45" s="33"/>
      <c r="BH45" s="34"/>
      <c r="BI45" s="6"/>
      <c r="BJ45" s="30"/>
      <c r="BK45"/>
      <c r="BL45" s="30"/>
      <c r="BM45" s="6"/>
      <c r="BN45" s="6"/>
      <c r="BO45" s="6"/>
      <c r="BP45" s="30"/>
      <c r="BQ45" s="30"/>
      <c r="BR45" s="6"/>
      <c r="BS45" s="6"/>
      <c r="BT45" s="30"/>
      <c r="BU45" s="30"/>
      <c r="BV45" s="6"/>
      <c r="BW45" s="92"/>
      <c r="BX45" s="6"/>
      <c r="BY45"/>
      <c r="BZ45" s="30"/>
      <c r="CA45" s="6"/>
      <c r="CB45" s="30"/>
      <c r="CC45" s="30"/>
      <c r="CD45"/>
      <c r="CE45" s="30"/>
      <c r="CF45" s="6"/>
      <c r="CH45" s="29">
        <v>43</v>
      </c>
      <c r="CI45" s="30" t="s">
        <v>142</v>
      </c>
      <c r="CJ45" s="31">
        <v>6</v>
      </c>
      <c r="CK45" s="31">
        <v>3</v>
      </c>
      <c r="CL45" s="31">
        <v>4</v>
      </c>
      <c r="CM45" s="31">
        <v>8</v>
      </c>
      <c r="CN45" s="32" t="s">
        <v>507</v>
      </c>
      <c r="CO45" s="33">
        <v>120000</v>
      </c>
      <c r="CP45" s="57"/>
    </row>
    <row r="46" spans="33:94" ht="12.75" customHeight="1" hidden="1">
      <c r="AG46" s="204" t="s">
        <v>508</v>
      </c>
      <c r="AH46" s="204" t="s">
        <v>509</v>
      </c>
      <c r="AI46" s="204" t="s">
        <v>510</v>
      </c>
      <c r="AJ46" s="204" t="s">
        <v>511</v>
      </c>
      <c r="AK46" s="204" t="s">
        <v>512</v>
      </c>
      <c r="AL46" s="204" t="s">
        <v>513</v>
      </c>
      <c r="AM46" s="204"/>
      <c r="AN46" s="29">
        <v>44</v>
      </c>
      <c r="AO46" s="30" t="s">
        <v>170</v>
      </c>
      <c r="AP46" s="31">
        <v>8</v>
      </c>
      <c r="AQ46" s="31">
        <v>3</v>
      </c>
      <c r="AR46" s="31">
        <v>4</v>
      </c>
      <c r="AS46" s="31">
        <v>7</v>
      </c>
      <c r="AT46" s="32" t="s">
        <v>514</v>
      </c>
      <c r="AU46" s="33">
        <v>90000</v>
      </c>
      <c r="AV46" s="33" t="s">
        <v>108</v>
      </c>
      <c r="AW46" s="33" t="s">
        <v>109</v>
      </c>
      <c r="AX46" s="33">
        <v>4</v>
      </c>
      <c r="AY46" s="57"/>
      <c r="AZ46" s="205"/>
      <c r="BA46" s="35"/>
      <c r="BB46" s="33"/>
      <c r="BC46" s="9"/>
      <c r="BD46" s="36">
        <f t="shared" si="32"/>
      </c>
      <c r="BE46" s="37">
        <f t="shared" si="33"/>
      </c>
      <c r="BF46" s="38"/>
      <c r="BG46" s="33"/>
      <c r="BH46" s="34"/>
      <c r="BJ46" s="30"/>
      <c r="BK46"/>
      <c r="BL46" s="30"/>
      <c r="BM46" s="30"/>
      <c r="BN46" s="6"/>
      <c r="BO46" s="6"/>
      <c r="BP46" s="6"/>
      <c r="BQ46" s="30"/>
      <c r="BR46" s="6"/>
      <c r="BS46" s="6"/>
      <c r="BT46" s="30"/>
      <c r="BU46" s="30"/>
      <c r="BV46" s="6"/>
      <c r="BW46" s="6"/>
      <c r="BX46" s="30"/>
      <c r="BY46" s="30"/>
      <c r="BZ46" s="6"/>
      <c r="CA46" s="6"/>
      <c r="CB46" s="30"/>
      <c r="CC46" s="6"/>
      <c r="CD46"/>
      <c r="CE46" s="30"/>
      <c r="CF46" s="6"/>
      <c r="CH46" s="29">
        <v>44</v>
      </c>
      <c r="CI46" s="30" t="s">
        <v>193</v>
      </c>
      <c r="CJ46" s="31">
        <v>8</v>
      </c>
      <c r="CK46" s="31">
        <v>3</v>
      </c>
      <c r="CL46" s="31">
        <v>4</v>
      </c>
      <c r="CM46" s="31">
        <v>7</v>
      </c>
      <c r="CN46" s="32" t="s">
        <v>515</v>
      </c>
      <c r="CO46" s="33">
        <v>120000</v>
      </c>
      <c r="CP46" s="57"/>
    </row>
    <row r="47" spans="33:94" ht="12.75" customHeight="1" hidden="1">
      <c r="AG47" s="204" t="s">
        <v>516</v>
      </c>
      <c r="AH47" s="204" t="s">
        <v>517</v>
      </c>
      <c r="AI47" s="204" t="s">
        <v>518</v>
      </c>
      <c r="AJ47" s="204" t="s">
        <v>519</v>
      </c>
      <c r="AK47" s="204" t="s">
        <v>520</v>
      </c>
      <c r="AL47" s="204" t="s">
        <v>521</v>
      </c>
      <c r="AM47" s="204"/>
      <c r="AN47" s="29">
        <v>45</v>
      </c>
      <c r="AO47" s="86" t="s">
        <v>217</v>
      </c>
      <c r="AP47" s="87">
        <v>7</v>
      </c>
      <c r="AQ47" s="87">
        <v>3</v>
      </c>
      <c r="AR47" s="87">
        <v>4</v>
      </c>
      <c r="AS47" s="87">
        <v>8</v>
      </c>
      <c r="AT47" s="88" t="s">
        <v>348</v>
      </c>
      <c r="AU47" s="89">
        <v>100000</v>
      </c>
      <c r="AV47" s="89" t="s">
        <v>108</v>
      </c>
      <c r="AW47" s="89" t="s">
        <v>109</v>
      </c>
      <c r="AX47" s="89">
        <v>2</v>
      </c>
      <c r="AY47" s="57"/>
      <c r="AZ47" s="205"/>
      <c r="BA47" s="35"/>
      <c r="BB47" s="33"/>
      <c r="BC47" s="9"/>
      <c r="BD47" s="36">
        <f t="shared" si="32"/>
      </c>
      <c r="BE47" s="37">
        <f t="shared" si="33"/>
      </c>
      <c r="BF47" s="38"/>
      <c r="BG47" s="33"/>
      <c r="BH47" s="34"/>
      <c r="BJ47" s="30"/>
      <c r="BK47" s="40"/>
      <c r="BL47"/>
      <c r="BM47" s="30"/>
      <c r="BN47" s="6"/>
      <c r="BO47" s="6"/>
      <c r="BP47" s="6"/>
      <c r="BQ47" s="39"/>
      <c r="BR47" s="6"/>
      <c r="BS47" s="6"/>
      <c r="BT47" s="30"/>
      <c r="BU47" s="30"/>
      <c r="BV47"/>
      <c r="BW47" s="6"/>
      <c r="BX47" s="30"/>
      <c r="BY47" s="30"/>
      <c r="BZ47" s="6"/>
      <c r="CA47" s="6"/>
      <c r="CB47" s="30"/>
      <c r="CC47" s="6"/>
      <c r="CD47"/>
      <c r="CE47" s="30"/>
      <c r="CF47" s="6"/>
      <c r="CH47" s="29">
        <v>45</v>
      </c>
      <c r="CI47" s="86" t="s">
        <v>238</v>
      </c>
      <c r="CJ47" s="87">
        <v>7</v>
      </c>
      <c r="CK47" s="87">
        <v>3</v>
      </c>
      <c r="CL47" s="87">
        <v>4</v>
      </c>
      <c r="CM47" s="87">
        <v>8</v>
      </c>
      <c r="CN47" s="88" t="s">
        <v>445</v>
      </c>
      <c r="CO47" s="89">
        <v>130000</v>
      </c>
      <c r="CP47" s="57"/>
    </row>
    <row r="48" spans="33:94" ht="12.75" customHeight="1" hidden="1">
      <c r="AG48" s="204" t="s">
        <v>522</v>
      </c>
      <c r="AH48" s="204" t="s">
        <v>523</v>
      </c>
      <c r="AI48" s="204" t="s">
        <v>524</v>
      </c>
      <c r="AJ48" s="204" t="s">
        <v>525</v>
      </c>
      <c r="AK48" s="204" t="s">
        <v>526</v>
      </c>
      <c r="AL48" s="204" t="s">
        <v>527</v>
      </c>
      <c r="AM48" s="204"/>
      <c r="AN48" s="29">
        <v>46</v>
      </c>
      <c r="AO48" s="53" t="s">
        <v>66</v>
      </c>
      <c r="AP48" s="96">
        <v>6</v>
      </c>
      <c r="AQ48" s="96">
        <v>3</v>
      </c>
      <c r="AR48" s="96">
        <v>3</v>
      </c>
      <c r="AS48" s="96">
        <v>8</v>
      </c>
      <c r="AT48" s="55"/>
      <c r="AU48" s="97">
        <v>50000</v>
      </c>
      <c r="AV48" s="97" t="s">
        <v>26</v>
      </c>
      <c r="AW48" s="97" t="s">
        <v>27</v>
      </c>
      <c r="AX48" s="97">
        <v>16</v>
      </c>
      <c r="AY48" s="91" t="s">
        <v>38</v>
      </c>
      <c r="AZ48" s="205"/>
      <c r="BA48" s="35"/>
      <c r="BB48" s="33"/>
      <c r="BC48" s="9"/>
      <c r="BD48" s="36">
        <f t="shared" si="32"/>
      </c>
      <c r="BE48" s="37">
        <f t="shared" si="33"/>
      </c>
      <c r="BF48" s="38"/>
      <c r="BG48" s="33"/>
      <c r="BH48" s="34"/>
      <c r="BI48" s="6"/>
      <c r="BJ48" s="39"/>
      <c r="BK48" s="40"/>
      <c r="BL48"/>
      <c r="BM48" s="39"/>
      <c r="BN48" s="6"/>
      <c r="BO48" s="6"/>
      <c r="BP48" s="39"/>
      <c r="BQ48" s="39"/>
      <c r="BR48" s="39"/>
      <c r="BS48" s="6"/>
      <c r="BT48" s="30"/>
      <c r="BU48" s="30"/>
      <c r="BV48" s="40"/>
      <c r="BW48" s="40"/>
      <c r="BX48" s="40"/>
      <c r="BY48" s="30"/>
      <c r="BZ48" s="6"/>
      <c r="CA48" s="6"/>
      <c r="CB48" s="30"/>
      <c r="CC48" s="39"/>
      <c r="CD48"/>
      <c r="CE48" s="111"/>
      <c r="CF48" s="6"/>
      <c r="CH48" s="29">
        <v>46</v>
      </c>
      <c r="CI48" s="53" t="s">
        <v>91</v>
      </c>
      <c r="CJ48" s="96">
        <v>6</v>
      </c>
      <c r="CK48" s="96">
        <v>3</v>
      </c>
      <c r="CL48" s="96">
        <v>3</v>
      </c>
      <c r="CM48" s="96">
        <v>8</v>
      </c>
      <c r="CN48" s="55" t="s">
        <v>268</v>
      </c>
      <c r="CO48" s="97">
        <v>80000</v>
      </c>
      <c r="CP48" s="91" t="s">
        <v>38</v>
      </c>
    </row>
    <row r="49" spans="33:94" ht="12.75" customHeight="1" hidden="1">
      <c r="AG49" s="204" t="s">
        <v>528</v>
      </c>
      <c r="AH49" s="204" t="s">
        <v>529</v>
      </c>
      <c r="AI49" s="204" t="s">
        <v>530</v>
      </c>
      <c r="AJ49" s="204" t="s">
        <v>531</v>
      </c>
      <c r="AK49" s="204" t="s">
        <v>532</v>
      </c>
      <c r="AL49" s="204" t="s">
        <v>533</v>
      </c>
      <c r="AM49" s="204"/>
      <c r="AN49" s="29">
        <v>47</v>
      </c>
      <c r="AO49" s="30" t="s">
        <v>119</v>
      </c>
      <c r="AP49" s="98">
        <v>8</v>
      </c>
      <c r="AQ49" s="98">
        <v>2</v>
      </c>
      <c r="AR49" s="98">
        <v>3</v>
      </c>
      <c r="AS49" s="98">
        <v>7</v>
      </c>
      <c r="AT49" s="32" t="s">
        <v>534</v>
      </c>
      <c r="AU49" s="99">
        <v>70000</v>
      </c>
      <c r="AV49" s="99" t="s">
        <v>108</v>
      </c>
      <c r="AW49" s="99" t="s">
        <v>109</v>
      </c>
      <c r="AX49" s="99">
        <v>4</v>
      </c>
      <c r="AY49" s="91"/>
      <c r="AZ49" s="205"/>
      <c r="BA49" s="35"/>
      <c r="BB49" s="33"/>
      <c r="BC49" s="9"/>
      <c r="BD49" s="36">
        <f t="shared" si="32"/>
      </c>
      <c r="BE49" s="37">
        <f t="shared" si="33"/>
      </c>
      <c r="BF49" s="38"/>
      <c r="BG49" s="33"/>
      <c r="BH49" s="34"/>
      <c r="BJ49" s="39"/>
      <c r="BK49" s="40"/>
      <c r="BL49" s="40"/>
      <c r="BM49" s="39"/>
      <c r="BN49" s="40"/>
      <c r="BO49" s="6"/>
      <c r="BP49" s="39"/>
      <c r="BQ49" s="39"/>
      <c r="BR49" s="39"/>
      <c r="BS49" s="6"/>
      <c r="BT49" s="39"/>
      <c r="BU49" s="40"/>
      <c r="BV49" s="40"/>
      <c r="BW49" s="40"/>
      <c r="BX49" s="40"/>
      <c r="BY49" s="40"/>
      <c r="BZ49" s="6"/>
      <c r="CA49" s="40"/>
      <c r="CB49" s="40"/>
      <c r="CC49" s="39"/>
      <c r="CD49" s="39"/>
      <c r="CE49" s="40"/>
      <c r="CF49" s="6"/>
      <c r="CH49" s="29">
        <v>47</v>
      </c>
      <c r="CI49" s="30" t="s">
        <v>143</v>
      </c>
      <c r="CJ49" s="98">
        <v>8</v>
      </c>
      <c r="CK49" s="98">
        <v>2</v>
      </c>
      <c r="CL49" s="98">
        <v>3</v>
      </c>
      <c r="CM49" s="98">
        <v>7</v>
      </c>
      <c r="CN49" s="32" t="s">
        <v>535</v>
      </c>
      <c r="CO49" s="99">
        <v>100000</v>
      </c>
      <c r="CP49" s="91"/>
    </row>
    <row r="50" spans="33:94" ht="12.75" customHeight="1" hidden="1">
      <c r="AG50" s="204" t="s">
        <v>536</v>
      </c>
      <c r="AH50" s="204" t="s">
        <v>537</v>
      </c>
      <c r="AI50" s="204" t="s">
        <v>538</v>
      </c>
      <c r="AJ50" s="204" t="s">
        <v>539</v>
      </c>
      <c r="AK50" s="204" t="s">
        <v>540</v>
      </c>
      <c r="AL50" s="204" t="s">
        <v>541</v>
      </c>
      <c r="AM50" s="204"/>
      <c r="AN50" s="29">
        <v>48</v>
      </c>
      <c r="AO50" s="30" t="s">
        <v>171</v>
      </c>
      <c r="AP50" s="98">
        <v>6</v>
      </c>
      <c r="AQ50" s="98">
        <v>3</v>
      </c>
      <c r="AR50" s="98">
        <v>3</v>
      </c>
      <c r="AS50" s="98">
        <v>8</v>
      </c>
      <c r="AT50" s="32" t="s">
        <v>542</v>
      </c>
      <c r="AU50" s="99">
        <v>70000</v>
      </c>
      <c r="AV50" s="99" t="s">
        <v>57</v>
      </c>
      <c r="AW50" s="99" t="s">
        <v>58</v>
      </c>
      <c r="AX50" s="99">
        <v>2</v>
      </c>
      <c r="AY50" s="91"/>
      <c r="AZ50" s="205"/>
      <c r="BB50" s="9"/>
      <c r="BC50" s="9"/>
      <c r="BD50" s="36">
        <f t="shared" si="32"/>
      </c>
      <c r="BE50" s="37">
        <f t="shared" si="33"/>
      </c>
      <c r="BF50" s="38"/>
      <c r="BG50" s="33"/>
      <c r="BH50" s="34"/>
      <c r="BJ50" s="39"/>
      <c r="BK50" s="40"/>
      <c r="BL50" s="40"/>
      <c r="BM50" s="39"/>
      <c r="BN50" s="40"/>
      <c r="BO50" s="6"/>
      <c r="BP50" s="39"/>
      <c r="BQ50" s="39"/>
      <c r="BR50" s="39"/>
      <c r="BS50" s="6"/>
      <c r="BT50" s="39"/>
      <c r="BU50" s="40"/>
      <c r="BV50" s="40"/>
      <c r="BW50" s="40"/>
      <c r="BX50" s="40"/>
      <c r="BY50" s="40"/>
      <c r="BZ50" s="40"/>
      <c r="CA50" s="40"/>
      <c r="CB50" s="40"/>
      <c r="CC50" s="39"/>
      <c r="CD50" s="39"/>
      <c r="CE50" s="40"/>
      <c r="CF50" s="39"/>
      <c r="CH50" s="29">
        <v>48</v>
      </c>
      <c r="CI50" s="30" t="s">
        <v>194</v>
      </c>
      <c r="CJ50" s="98">
        <v>6</v>
      </c>
      <c r="CK50" s="98">
        <v>3</v>
      </c>
      <c r="CL50" s="98">
        <v>3</v>
      </c>
      <c r="CM50" s="98">
        <v>8</v>
      </c>
      <c r="CN50" s="32" t="s">
        <v>543</v>
      </c>
      <c r="CO50" s="99">
        <v>100000</v>
      </c>
      <c r="CP50" s="91"/>
    </row>
    <row r="51" spans="33:94" ht="12.75" customHeight="1" hidden="1">
      <c r="AG51" s="204" t="s">
        <v>544</v>
      </c>
      <c r="AH51" s="204" t="s">
        <v>545</v>
      </c>
      <c r="AI51" s="204"/>
      <c r="AJ51" s="204" t="s">
        <v>546</v>
      </c>
      <c r="AK51" s="204" t="s">
        <v>547</v>
      </c>
      <c r="AL51" s="204" t="s">
        <v>548</v>
      </c>
      <c r="AM51" s="204"/>
      <c r="AN51" s="29">
        <v>49</v>
      </c>
      <c r="AO51" s="30" t="s">
        <v>218</v>
      </c>
      <c r="AP51" s="98">
        <v>7</v>
      </c>
      <c r="AQ51" s="98">
        <v>3</v>
      </c>
      <c r="AR51" s="98">
        <v>3</v>
      </c>
      <c r="AS51" s="98">
        <v>8</v>
      </c>
      <c r="AT51" s="32" t="s">
        <v>348</v>
      </c>
      <c r="AU51" s="99">
        <v>90000</v>
      </c>
      <c r="AV51" s="99" t="s">
        <v>160</v>
      </c>
      <c r="AW51" s="99" t="s">
        <v>161</v>
      </c>
      <c r="AX51" s="99">
        <v>4</v>
      </c>
      <c r="AY51" s="91"/>
      <c r="AZ51" s="205"/>
      <c r="BB51" s="9"/>
      <c r="BC51" s="9"/>
      <c r="BD51" s="205"/>
      <c r="BE51" s="9"/>
      <c r="BF51" s="206"/>
      <c r="BG51" s="9"/>
      <c r="BH51" s="205"/>
      <c r="CH51" s="29">
        <v>49</v>
      </c>
      <c r="CI51" s="30" t="s">
        <v>239</v>
      </c>
      <c r="CJ51" s="98">
        <v>7</v>
      </c>
      <c r="CK51" s="98">
        <v>3</v>
      </c>
      <c r="CL51" s="98">
        <v>3</v>
      </c>
      <c r="CM51" s="98">
        <v>8</v>
      </c>
      <c r="CN51" s="32" t="s">
        <v>445</v>
      </c>
      <c r="CO51" s="99">
        <v>120000</v>
      </c>
      <c r="CP51" s="91"/>
    </row>
    <row r="52" spans="33:94" ht="12.75" customHeight="1" hidden="1">
      <c r="AG52" s="204" t="s">
        <v>549</v>
      </c>
      <c r="AH52" s="204" t="s">
        <v>550</v>
      </c>
      <c r="AI52" s="204"/>
      <c r="AJ52" s="204" t="s">
        <v>551</v>
      </c>
      <c r="AK52" s="204" t="s">
        <v>552</v>
      </c>
      <c r="AL52" s="204" t="s">
        <v>553</v>
      </c>
      <c r="AM52" s="204"/>
      <c r="AN52" s="29">
        <v>50</v>
      </c>
      <c r="AO52" s="168" t="s">
        <v>44</v>
      </c>
      <c r="AP52" s="169">
        <v>5</v>
      </c>
      <c r="AQ52" s="169">
        <v>5</v>
      </c>
      <c r="AR52" s="169">
        <v>2</v>
      </c>
      <c r="AS52" s="169">
        <v>9</v>
      </c>
      <c r="AT52" s="88" t="s">
        <v>415</v>
      </c>
      <c r="AU52" s="170">
        <v>140000</v>
      </c>
      <c r="AV52" s="170" t="s">
        <v>349</v>
      </c>
      <c r="AW52" s="170" t="s">
        <v>285</v>
      </c>
      <c r="AX52" s="170">
        <v>1</v>
      </c>
      <c r="AY52" s="91"/>
      <c r="AZ52" s="205"/>
      <c r="BB52" s="9"/>
      <c r="BC52" s="9"/>
      <c r="BD52" s="205"/>
      <c r="BE52" s="9"/>
      <c r="BF52" s="206"/>
      <c r="BG52" s="9"/>
      <c r="BH52" s="205"/>
      <c r="CH52" s="29">
        <v>50</v>
      </c>
      <c r="CI52" s="168" t="s">
        <v>273</v>
      </c>
      <c r="CJ52" s="169">
        <v>5</v>
      </c>
      <c r="CK52" s="169">
        <v>5</v>
      </c>
      <c r="CL52" s="169">
        <v>2</v>
      </c>
      <c r="CM52" s="169">
        <v>9</v>
      </c>
      <c r="CN52" s="88" t="s">
        <v>415</v>
      </c>
      <c r="CO52" s="170">
        <v>170000</v>
      </c>
      <c r="CP52" s="91"/>
    </row>
    <row r="53" spans="33:94" ht="12.75" customHeight="1" hidden="1">
      <c r="AG53" s="204" t="s">
        <v>554</v>
      </c>
      <c r="AH53" s="204" t="s">
        <v>555</v>
      </c>
      <c r="AI53" s="204"/>
      <c r="AJ53" s="204" t="s">
        <v>556</v>
      </c>
      <c r="AK53" s="204" t="s">
        <v>557</v>
      </c>
      <c r="AL53" s="204" t="s">
        <v>558</v>
      </c>
      <c r="AM53" s="204"/>
      <c r="AN53" s="29">
        <v>51</v>
      </c>
      <c r="AO53" s="53" t="s">
        <v>67</v>
      </c>
      <c r="AP53" s="54">
        <v>5</v>
      </c>
      <c r="AQ53" s="54">
        <v>3</v>
      </c>
      <c r="AR53" s="54">
        <v>2</v>
      </c>
      <c r="AS53" s="54">
        <v>7</v>
      </c>
      <c r="AT53" s="55" t="s">
        <v>559</v>
      </c>
      <c r="AU53" s="56">
        <v>40000</v>
      </c>
      <c r="AV53" s="56" t="s">
        <v>26</v>
      </c>
      <c r="AW53" s="56" t="s">
        <v>27</v>
      </c>
      <c r="AX53" s="56">
        <v>16</v>
      </c>
      <c r="AY53" s="57" t="s">
        <v>39</v>
      </c>
      <c r="AZ53" s="205"/>
      <c r="BB53" s="9"/>
      <c r="BC53" s="9"/>
      <c r="BD53" s="205"/>
      <c r="BE53" s="9"/>
      <c r="BF53" s="206"/>
      <c r="BG53" s="9"/>
      <c r="BH53" s="205"/>
      <c r="CH53" s="29">
        <v>51</v>
      </c>
      <c r="CI53" s="53" t="s">
        <v>92</v>
      </c>
      <c r="CJ53" s="54">
        <v>5</v>
      </c>
      <c r="CK53" s="54">
        <v>3</v>
      </c>
      <c r="CL53" s="54">
        <v>2</v>
      </c>
      <c r="CM53" s="54">
        <v>7</v>
      </c>
      <c r="CN53" s="55" t="s">
        <v>560</v>
      </c>
      <c r="CO53" s="56">
        <v>70000</v>
      </c>
      <c r="CP53" s="57" t="s">
        <v>39</v>
      </c>
    </row>
    <row r="54" spans="33:94" ht="12.75" customHeight="1" hidden="1">
      <c r="AG54" s="204" t="s">
        <v>561</v>
      </c>
      <c r="AH54" s="204"/>
      <c r="AI54" s="204"/>
      <c r="AJ54" s="204"/>
      <c r="AK54" s="204"/>
      <c r="AL54" s="204" t="s">
        <v>562</v>
      </c>
      <c r="AM54" s="204"/>
      <c r="AN54" s="29">
        <v>52</v>
      </c>
      <c r="AO54" s="30" t="s">
        <v>120</v>
      </c>
      <c r="AP54" s="31">
        <v>6</v>
      </c>
      <c r="AQ54" s="31">
        <v>3</v>
      </c>
      <c r="AR54" s="31">
        <v>2</v>
      </c>
      <c r="AS54" s="31">
        <v>7</v>
      </c>
      <c r="AT54" s="32" t="s">
        <v>563</v>
      </c>
      <c r="AU54" s="33">
        <v>70000</v>
      </c>
      <c r="AV54" s="33" t="s">
        <v>57</v>
      </c>
      <c r="AW54" s="33" t="s">
        <v>58</v>
      </c>
      <c r="AX54" s="33">
        <v>2</v>
      </c>
      <c r="AY54" s="57"/>
      <c r="AZ54" s="205"/>
      <c r="BB54" s="9"/>
      <c r="BC54" s="9"/>
      <c r="BD54" s="205"/>
      <c r="BE54" s="9"/>
      <c r="BF54" s="206"/>
      <c r="BG54" s="9"/>
      <c r="BH54" s="205"/>
      <c r="CH54" s="29">
        <v>52</v>
      </c>
      <c r="CI54" s="30" t="s">
        <v>144</v>
      </c>
      <c r="CJ54" s="31">
        <v>6</v>
      </c>
      <c r="CK54" s="31">
        <v>3</v>
      </c>
      <c r="CL54" s="31">
        <v>2</v>
      </c>
      <c r="CM54" s="31">
        <v>7</v>
      </c>
      <c r="CN54" s="32" t="s">
        <v>564</v>
      </c>
      <c r="CO54" s="33">
        <v>100000</v>
      </c>
      <c r="CP54" s="57"/>
    </row>
    <row r="55" spans="33:94" ht="12.75" customHeight="1" hidden="1">
      <c r="AG55" s="204" t="s">
        <v>565</v>
      </c>
      <c r="AH55" s="204"/>
      <c r="AI55" s="204"/>
      <c r="AJ55" s="204"/>
      <c r="AK55" s="204"/>
      <c r="AL55" s="204" t="s">
        <v>566</v>
      </c>
      <c r="AM55" s="204"/>
      <c r="AN55" s="29">
        <v>53</v>
      </c>
      <c r="AO55" s="30" t="s">
        <v>172</v>
      </c>
      <c r="AP55" s="31">
        <v>6</v>
      </c>
      <c r="AQ55" s="31">
        <v>3</v>
      </c>
      <c r="AR55" s="31">
        <v>2</v>
      </c>
      <c r="AS55" s="31">
        <v>8</v>
      </c>
      <c r="AT55" s="32" t="s">
        <v>567</v>
      </c>
      <c r="AU55" s="33">
        <v>90000</v>
      </c>
      <c r="AV55" s="33" t="s">
        <v>160</v>
      </c>
      <c r="AW55" s="33" t="s">
        <v>161</v>
      </c>
      <c r="AX55" s="33">
        <v>2</v>
      </c>
      <c r="AY55" s="57"/>
      <c r="AZ55" s="205"/>
      <c r="BB55" s="9"/>
      <c r="BC55" s="9"/>
      <c r="BD55" s="205"/>
      <c r="BE55" s="9"/>
      <c r="BF55" s="206"/>
      <c r="BG55" s="9"/>
      <c r="BH55" s="205"/>
      <c r="CH55" s="29">
        <v>53</v>
      </c>
      <c r="CI55" s="30" t="s">
        <v>195</v>
      </c>
      <c r="CJ55" s="31">
        <v>6</v>
      </c>
      <c r="CK55" s="31">
        <v>3</v>
      </c>
      <c r="CL55" s="31">
        <v>2</v>
      </c>
      <c r="CM55" s="31">
        <v>8</v>
      </c>
      <c r="CN55" s="32" t="s">
        <v>568</v>
      </c>
      <c r="CO55" s="33">
        <v>120000</v>
      </c>
      <c r="CP55" s="57"/>
    </row>
    <row r="56" spans="33:94" ht="12.75" customHeight="1" hidden="1">
      <c r="AG56" s="204" t="s">
        <v>569</v>
      </c>
      <c r="AH56" s="204"/>
      <c r="AI56" s="204"/>
      <c r="AJ56" s="204"/>
      <c r="AK56" s="204"/>
      <c r="AL56" s="204" t="s">
        <v>570</v>
      </c>
      <c r="AM56" s="204"/>
      <c r="AN56" s="29">
        <v>54</v>
      </c>
      <c r="AO56" s="86" t="s">
        <v>219</v>
      </c>
      <c r="AP56" s="87">
        <v>4</v>
      </c>
      <c r="AQ56" s="87">
        <v>5</v>
      </c>
      <c r="AR56" s="87">
        <v>1</v>
      </c>
      <c r="AS56" s="87">
        <v>9</v>
      </c>
      <c r="AT56" s="88" t="s">
        <v>571</v>
      </c>
      <c r="AU56" s="170">
        <v>100000</v>
      </c>
      <c r="AV56" s="170" t="s">
        <v>349</v>
      </c>
      <c r="AW56" s="170" t="s">
        <v>285</v>
      </c>
      <c r="AX56" s="170">
        <v>4</v>
      </c>
      <c r="AY56" s="57"/>
      <c r="AZ56" s="205"/>
      <c r="BB56" s="9"/>
      <c r="BC56" s="9"/>
      <c r="BD56" s="205"/>
      <c r="BE56" s="9"/>
      <c r="BF56" s="206"/>
      <c r="BG56" s="9"/>
      <c r="BH56" s="205"/>
      <c r="CH56" s="29">
        <v>54</v>
      </c>
      <c r="CI56" s="86" t="s">
        <v>240</v>
      </c>
      <c r="CJ56" s="87">
        <v>4</v>
      </c>
      <c r="CK56" s="87">
        <v>5</v>
      </c>
      <c r="CL56" s="87">
        <v>1</v>
      </c>
      <c r="CM56" s="87">
        <v>9</v>
      </c>
      <c r="CN56" s="88" t="s">
        <v>572</v>
      </c>
      <c r="CO56" s="170">
        <v>130000</v>
      </c>
      <c r="CP56" s="57"/>
    </row>
    <row r="57" spans="33:94" ht="12.75" customHeight="1" hidden="1">
      <c r="AG57" s="204" t="s">
        <v>573</v>
      </c>
      <c r="AH57" s="204"/>
      <c r="AI57" s="204"/>
      <c r="AJ57" s="204"/>
      <c r="AK57" s="204"/>
      <c r="AL57" s="204" t="s">
        <v>574</v>
      </c>
      <c r="AM57" s="204"/>
      <c r="AN57" s="29">
        <v>55</v>
      </c>
      <c r="AO57" s="53" t="s">
        <v>68</v>
      </c>
      <c r="AP57" s="96">
        <v>8</v>
      </c>
      <c r="AQ57" s="96">
        <v>2</v>
      </c>
      <c r="AR57" s="96">
        <v>3</v>
      </c>
      <c r="AS57" s="96">
        <v>7</v>
      </c>
      <c r="AT57" s="55" t="s">
        <v>575</v>
      </c>
      <c r="AU57" s="97">
        <v>60000</v>
      </c>
      <c r="AV57" s="97" t="s">
        <v>359</v>
      </c>
      <c r="AW57" s="97" t="s">
        <v>375</v>
      </c>
      <c r="AX57" s="97">
        <v>16</v>
      </c>
      <c r="AY57" s="91" t="s">
        <v>40</v>
      </c>
      <c r="AZ57" s="205"/>
      <c r="BB57" s="9"/>
      <c r="BC57" s="9"/>
      <c r="BD57" s="205"/>
      <c r="BE57" s="9"/>
      <c r="BF57" s="206"/>
      <c r="BG57" s="9"/>
      <c r="BH57" s="205"/>
      <c r="CH57" s="29">
        <v>55</v>
      </c>
      <c r="CI57" s="53" t="s">
        <v>93</v>
      </c>
      <c r="CJ57" s="96">
        <v>8</v>
      </c>
      <c r="CK57" s="96">
        <v>2</v>
      </c>
      <c r="CL57" s="96">
        <v>3</v>
      </c>
      <c r="CM57" s="96">
        <v>7</v>
      </c>
      <c r="CN57" s="55" t="s">
        <v>576</v>
      </c>
      <c r="CO57" s="97">
        <v>90000</v>
      </c>
      <c r="CP57" s="91" t="s">
        <v>40</v>
      </c>
    </row>
    <row r="58" spans="34:94" ht="12.75" customHeight="1" hidden="1">
      <c r="AH58" s="204"/>
      <c r="AI58" s="204"/>
      <c r="AJ58" s="204"/>
      <c r="AK58" s="204"/>
      <c r="AL58" s="204" t="s">
        <v>577</v>
      </c>
      <c r="AM58" s="204"/>
      <c r="AN58" s="29">
        <v>56</v>
      </c>
      <c r="AO58" s="30" t="s">
        <v>121</v>
      </c>
      <c r="AP58" s="98">
        <v>6</v>
      </c>
      <c r="AQ58" s="98">
        <v>4</v>
      </c>
      <c r="AR58" s="98">
        <v>1</v>
      </c>
      <c r="AS58" s="98">
        <v>9</v>
      </c>
      <c r="AT58" s="32"/>
      <c r="AU58" s="99">
        <v>80000</v>
      </c>
      <c r="AV58" s="99" t="s">
        <v>160</v>
      </c>
      <c r="AW58" s="99" t="s">
        <v>161</v>
      </c>
      <c r="AX58" s="99">
        <v>6</v>
      </c>
      <c r="AY58" s="91"/>
      <c r="AZ58" s="205"/>
      <c r="BB58" s="9"/>
      <c r="BC58" s="9"/>
      <c r="BD58" s="205"/>
      <c r="BE58" s="9"/>
      <c r="BF58" s="206"/>
      <c r="BG58" s="9"/>
      <c r="BH58" s="205"/>
      <c r="CH58" s="29">
        <v>56</v>
      </c>
      <c r="CI58" s="30" t="s">
        <v>145</v>
      </c>
      <c r="CJ58" s="98">
        <v>6</v>
      </c>
      <c r="CK58" s="98">
        <v>4</v>
      </c>
      <c r="CL58" s="98">
        <v>1</v>
      </c>
      <c r="CM58" s="98">
        <v>9</v>
      </c>
      <c r="CN58" s="32" t="s">
        <v>268</v>
      </c>
      <c r="CO58" s="99">
        <v>110000</v>
      </c>
      <c r="CP58" s="91"/>
    </row>
    <row r="59" spans="34:94" ht="12.75" customHeight="1" hidden="1">
      <c r="AH59" s="204"/>
      <c r="AI59" s="204"/>
      <c r="AJ59" s="204"/>
      <c r="AK59" s="204"/>
      <c r="AL59" s="204" t="s">
        <v>578</v>
      </c>
      <c r="AM59" s="204"/>
      <c r="AN59" s="29">
        <v>57</v>
      </c>
      <c r="AO59" s="86" t="s">
        <v>173</v>
      </c>
      <c r="AP59" s="169">
        <v>6</v>
      </c>
      <c r="AQ59" s="169">
        <v>5</v>
      </c>
      <c r="AR59" s="169">
        <v>1</v>
      </c>
      <c r="AS59" s="169">
        <v>9</v>
      </c>
      <c r="AT59" s="88" t="s">
        <v>579</v>
      </c>
      <c r="AU59" s="170">
        <v>140000</v>
      </c>
      <c r="AV59" s="170" t="s">
        <v>349</v>
      </c>
      <c r="AW59" s="170" t="s">
        <v>285</v>
      </c>
      <c r="AX59" s="170">
        <v>1</v>
      </c>
      <c r="AY59" s="91"/>
      <c r="AZ59" s="205"/>
      <c r="BB59" s="9"/>
      <c r="BC59" s="9"/>
      <c r="BD59" s="205"/>
      <c r="BE59" s="9"/>
      <c r="BF59" s="206"/>
      <c r="BG59" s="9"/>
      <c r="BH59" s="205"/>
      <c r="CH59" s="29">
        <v>57</v>
      </c>
      <c r="CI59" s="86" t="s">
        <v>196</v>
      </c>
      <c r="CJ59" s="169">
        <v>6</v>
      </c>
      <c r="CK59" s="169">
        <v>5</v>
      </c>
      <c r="CL59" s="169">
        <v>1</v>
      </c>
      <c r="CM59" s="169">
        <v>9</v>
      </c>
      <c r="CN59" s="88" t="s">
        <v>579</v>
      </c>
      <c r="CO59" s="170">
        <v>170000</v>
      </c>
      <c r="CP59" s="91"/>
    </row>
    <row r="60" spans="34:94" ht="12.75" customHeight="1" hidden="1">
      <c r="AH60" s="204"/>
      <c r="AI60" s="204"/>
      <c r="AJ60" s="204"/>
      <c r="AK60" s="204"/>
      <c r="AL60" s="204" t="s">
        <v>580</v>
      </c>
      <c r="AM60" s="204"/>
      <c r="AN60" s="29">
        <v>58</v>
      </c>
      <c r="AO60" s="53" t="s">
        <v>69</v>
      </c>
      <c r="AP60" s="96">
        <v>4</v>
      </c>
      <c r="AQ60" s="96">
        <v>3</v>
      </c>
      <c r="AR60" s="96">
        <v>2</v>
      </c>
      <c r="AS60" s="96">
        <v>8</v>
      </c>
      <c r="AT60" s="55" t="s">
        <v>581</v>
      </c>
      <c r="AU60" s="97">
        <v>40000</v>
      </c>
      <c r="AV60" s="97" t="s">
        <v>26</v>
      </c>
      <c r="AW60" s="97" t="s">
        <v>27</v>
      </c>
      <c r="AX60" s="97">
        <v>16</v>
      </c>
      <c r="AY60" s="57" t="s">
        <v>41</v>
      </c>
      <c r="AZ60" s="205"/>
      <c r="BB60" s="9"/>
      <c r="BC60" s="9"/>
      <c r="BD60" s="205"/>
      <c r="BE60" s="9"/>
      <c r="BF60" s="206"/>
      <c r="BG60" s="9"/>
      <c r="BH60" s="205"/>
      <c r="CH60" s="29">
        <v>58</v>
      </c>
      <c r="CI60" s="53" t="s">
        <v>94</v>
      </c>
      <c r="CJ60" s="96">
        <v>4</v>
      </c>
      <c r="CK60" s="96">
        <v>3</v>
      </c>
      <c r="CL60" s="96">
        <v>2</v>
      </c>
      <c r="CM60" s="96">
        <v>8</v>
      </c>
      <c r="CN60" s="55" t="s">
        <v>582</v>
      </c>
      <c r="CO60" s="97">
        <v>70000</v>
      </c>
      <c r="CP60" s="57" t="s">
        <v>41</v>
      </c>
    </row>
    <row r="61" spans="34:94" ht="12.75" customHeight="1" hidden="1">
      <c r="AH61" s="204"/>
      <c r="AI61" s="204"/>
      <c r="AJ61" s="204"/>
      <c r="AK61" s="204"/>
      <c r="AL61" s="204" t="s">
        <v>583</v>
      </c>
      <c r="AM61" s="204"/>
      <c r="AN61" s="29">
        <v>59</v>
      </c>
      <c r="AO61" s="30" t="s">
        <v>122</v>
      </c>
      <c r="AP61" s="98">
        <v>7</v>
      </c>
      <c r="AQ61" s="98">
        <v>3</v>
      </c>
      <c r="AR61" s="98">
        <v>3</v>
      </c>
      <c r="AS61" s="98">
        <v>7</v>
      </c>
      <c r="AT61" s="32" t="s">
        <v>25</v>
      </c>
      <c r="AU61" s="99">
        <v>70000</v>
      </c>
      <c r="AV61" s="99" t="s">
        <v>108</v>
      </c>
      <c r="AW61" s="99" t="s">
        <v>109</v>
      </c>
      <c r="AX61" s="99">
        <v>2</v>
      </c>
      <c r="AY61" s="57"/>
      <c r="AZ61" s="205"/>
      <c r="BB61" s="9"/>
      <c r="BC61" s="9"/>
      <c r="BD61" s="205"/>
      <c r="BE61" s="9"/>
      <c r="BF61" s="206"/>
      <c r="BG61" s="9"/>
      <c r="BH61" s="205"/>
      <c r="CH61" s="29">
        <v>59</v>
      </c>
      <c r="CI61" s="30" t="s">
        <v>146</v>
      </c>
      <c r="CJ61" s="98">
        <v>7</v>
      </c>
      <c r="CK61" s="98">
        <v>3</v>
      </c>
      <c r="CL61" s="98">
        <v>3</v>
      </c>
      <c r="CM61" s="98">
        <v>7</v>
      </c>
      <c r="CN61" s="32" t="s">
        <v>53</v>
      </c>
      <c r="CO61" s="99">
        <v>100000</v>
      </c>
      <c r="CP61" s="57"/>
    </row>
    <row r="62" spans="34:94" ht="12.75" customHeight="1" hidden="1">
      <c r="AH62" s="204"/>
      <c r="AI62" s="204"/>
      <c r="AJ62" s="204"/>
      <c r="AK62" s="204"/>
      <c r="AL62" s="204" t="s">
        <v>584</v>
      </c>
      <c r="AM62" s="204"/>
      <c r="AN62" s="29">
        <v>60</v>
      </c>
      <c r="AO62" s="30" t="s">
        <v>174</v>
      </c>
      <c r="AP62" s="98">
        <v>6</v>
      </c>
      <c r="AQ62" s="98">
        <v>3</v>
      </c>
      <c r="AR62" s="98">
        <v>3</v>
      </c>
      <c r="AS62" s="98">
        <v>8</v>
      </c>
      <c r="AT62" s="32" t="s">
        <v>567</v>
      </c>
      <c r="AU62" s="99">
        <v>90000</v>
      </c>
      <c r="AV62" s="99" t="s">
        <v>160</v>
      </c>
      <c r="AW62" s="99" t="s">
        <v>161</v>
      </c>
      <c r="AX62" s="99">
        <v>2</v>
      </c>
      <c r="AY62" s="57"/>
      <c r="AZ62" s="205"/>
      <c r="BB62" s="9"/>
      <c r="BC62" s="9"/>
      <c r="BD62" s="205"/>
      <c r="BE62" s="9"/>
      <c r="BF62" s="206"/>
      <c r="BG62" s="9"/>
      <c r="BH62" s="205"/>
      <c r="CH62" s="29">
        <v>60</v>
      </c>
      <c r="CI62" s="30" t="s">
        <v>197</v>
      </c>
      <c r="CJ62" s="98">
        <v>6</v>
      </c>
      <c r="CK62" s="98">
        <v>3</v>
      </c>
      <c r="CL62" s="98">
        <v>3</v>
      </c>
      <c r="CM62" s="98">
        <v>8</v>
      </c>
      <c r="CN62" s="32" t="s">
        <v>568</v>
      </c>
      <c r="CO62" s="99">
        <v>120000</v>
      </c>
      <c r="CP62" s="57"/>
    </row>
    <row r="63" spans="34:94" ht="12.75" customHeight="1" hidden="1">
      <c r="AH63" s="204"/>
      <c r="AI63" s="204"/>
      <c r="AJ63" s="204"/>
      <c r="AK63" s="204"/>
      <c r="AL63" s="204" t="s">
        <v>585</v>
      </c>
      <c r="AM63" s="204"/>
      <c r="AN63" s="29">
        <v>61</v>
      </c>
      <c r="AO63" s="30" t="s">
        <v>221</v>
      </c>
      <c r="AP63" s="98">
        <v>4</v>
      </c>
      <c r="AQ63" s="98">
        <v>4</v>
      </c>
      <c r="AR63" s="98">
        <v>2</v>
      </c>
      <c r="AS63" s="98">
        <v>9</v>
      </c>
      <c r="AT63" s="32" t="s">
        <v>586</v>
      </c>
      <c r="AU63" s="99">
        <v>110000</v>
      </c>
      <c r="AV63" s="99" t="s">
        <v>160</v>
      </c>
      <c r="AW63" s="99" t="s">
        <v>161</v>
      </c>
      <c r="AX63" s="99">
        <v>2</v>
      </c>
      <c r="AY63" s="57"/>
      <c r="AZ63" s="205"/>
      <c r="BB63" s="9"/>
      <c r="BC63" s="9"/>
      <c r="BD63" s="205"/>
      <c r="BE63" s="9"/>
      <c r="BF63" s="206"/>
      <c r="BG63" s="9"/>
      <c r="BH63" s="205"/>
      <c r="CH63" s="29">
        <v>61</v>
      </c>
      <c r="CI63" s="30" t="s">
        <v>241</v>
      </c>
      <c r="CJ63" s="98">
        <v>4</v>
      </c>
      <c r="CK63" s="98">
        <v>4</v>
      </c>
      <c r="CL63" s="98">
        <v>2</v>
      </c>
      <c r="CM63" s="98">
        <v>9</v>
      </c>
      <c r="CN63" s="32" t="s">
        <v>587</v>
      </c>
      <c r="CO63" s="99">
        <v>140000</v>
      </c>
      <c r="CP63" s="57"/>
    </row>
    <row r="64" spans="34:94" ht="12.75" customHeight="1" hidden="1">
      <c r="AH64" s="204"/>
      <c r="AI64" s="204"/>
      <c r="AJ64" s="204"/>
      <c r="AK64" s="204"/>
      <c r="AL64" s="204" t="s">
        <v>588</v>
      </c>
      <c r="AM64" s="204"/>
      <c r="AN64" s="29">
        <v>62</v>
      </c>
      <c r="AO64" s="86" t="s">
        <v>261</v>
      </c>
      <c r="AP64" s="169">
        <v>8</v>
      </c>
      <c r="AQ64" s="169">
        <v>3</v>
      </c>
      <c r="AR64" s="169">
        <v>3</v>
      </c>
      <c r="AS64" s="169">
        <v>8</v>
      </c>
      <c r="AT64" s="88" t="s">
        <v>589</v>
      </c>
      <c r="AU64" s="170">
        <v>120000</v>
      </c>
      <c r="AV64" s="170" t="s">
        <v>108</v>
      </c>
      <c r="AW64" s="170" t="s">
        <v>109</v>
      </c>
      <c r="AX64" s="170">
        <v>2</v>
      </c>
      <c r="AY64" s="57"/>
      <c r="AZ64" s="205"/>
      <c r="BB64" s="9"/>
      <c r="BC64" s="9"/>
      <c r="BD64" s="205"/>
      <c r="BE64" s="9"/>
      <c r="BF64" s="206"/>
      <c r="BG64" s="9"/>
      <c r="BH64" s="205"/>
      <c r="CH64" s="29">
        <v>62</v>
      </c>
      <c r="CI64" s="86" t="s">
        <v>274</v>
      </c>
      <c r="CJ64" s="169">
        <v>8</v>
      </c>
      <c r="CK64" s="169">
        <v>3</v>
      </c>
      <c r="CL64" s="169">
        <v>3</v>
      </c>
      <c r="CM64" s="169">
        <v>8</v>
      </c>
      <c r="CN64" s="88" t="s">
        <v>590</v>
      </c>
      <c r="CO64" s="170">
        <v>150000</v>
      </c>
      <c r="CP64" s="57"/>
    </row>
    <row r="65" spans="34:94" ht="12.75" customHeight="1" hidden="1">
      <c r="AH65" s="204"/>
      <c r="AI65" s="204"/>
      <c r="AJ65" s="204"/>
      <c r="AK65" s="204"/>
      <c r="AL65" s="204" t="s">
        <v>591</v>
      </c>
      <c r="AM65" s="204"/>
      <c r="AN65" s="29">
        <v>63</v>
      </c>
      <c r="AO65" s="90" t="s">
        <v>70</v>
      </c>
      <c r="AP65" s="96">
        <v>6</v>
      </c>
      <c r="AQ65" s="96">
        <v>3</v>
      </c>
      <c r="AR65" s="96">
        <v>3</v>
      </c>
      <c r="AS65" s="96">
        <v>7</v>
      </c>
      <c r="AT65" s="55" t="s">
        <v>348</v>
      </c>
      <c r="AU65" s="97">
        <v>50000</v>
      </c>
      <c r="AV65" s="97" t="s">
        <v>26</v>
      </c>
      <c r="AW65" s="97" t="s">
        <v>27</v>
      </c>
      <c r="AX65" s="97">
        <v>16</v>
      </c>
      <c r="AY65" s="91" t="s">
        <v>42</v>
      </c>
      <c r="AZ65" s="205"/>
      <c r="BB65" s="9"/>
      <c r="BC65" s="9"/>
      <c r="BD65" s="205"/>
      <c r="BE65" s="9"/>
      <c r="BF65" s="206"/>
      <c r="BG65" s="9"/>
      <c r="BH65" s="205"/>
      <c r="CH65" s="29">
        <v>63</v>
      </c>
      <c r="CI65" s="90" t="s">
        <v>95</v>
      </c>
      <c r="CJ65" s="96">
        <v>6</v>
      </c>
      <c r="CK65" s="96">
        <v>3</v>
      </c>
      <c r="CL65" s="96">
        <v>3</v>
      </c>
      <c r="CM65" s="96">
        <v>7</v>
      </c>
      <c r="CN65" s="55" t="s">
        <v>445</v>
      </c>
      <c r="CO65" s="97">
        <v>80000</v>
      </c>
      <c r="CP65" s="91" t="s">
        <v>42</v>
      </c>
    </row>
    <row r="66" spans="34:94" ht="12.75" customHeight="1" hidden="1">
      <c r="AH66" s="204"/>
      <c r="AI66" s="204"/>
      <c r="AJ66" s="204"/>
      <c r="AK66" s="204"/>
      <c r="AL66" s="204" t="s">
        <v>592</v>
      </c>
      <c r="AM66" s="204"/>
      <c r="AN66" s="29">
        <v>64</v>
      </c>
      <c r="AO66" s="92" t="s">
        <v>123</v>
      </c>
      <c r="AP66" s="98">
        <v>6</v>
      </c>
      <c r="AQ66" s="98">
        <v>3</v>
      </c>
      <c r="AR66" s="98">
        <v>3</v>
      </c>
      <c r="AS66" s="98">
        <v>7</v>
      </c>
      <c r="AT66" s="32" t="s">
        <v>593</v>
      </c>
      <c r="AU66" s="99">
        <v>70000</v>
      </c>
      <c r="AV66" s="99" t="s">
        <v>57</v>
      </c>
      <c r="AW66" s="99" t="s">
        <v>58</v>
      </c>
      <c r="AX66" s="99">
        <v>2</v>
      </c>
      <c r="AY66" s="91"/>
      <c r="AZ66" s="205"/>
      <c r="BB66" s="9"/>
      <c r="BC66" s="9"/>
      <c r="BD66" s="205"/>
      <c r="BE66" s="9"/>
      <c r="BF66" s="206"/>
      <c r="BG66" s="9"/>
      <c r="BH66" s="205"/>
      <c r="CH66" s="29">
        <v>64</v>
      </c>
      <c r="CI66" s="92" t="s">
        <v>147</v>
      </c>
      <c r="CJ66" s="98">
        <v>6</v>
      </c>
      <c r="CK66" s="98">
        <v>3</v>
      </c>
      <c r="CL66" s="98">
        <v>3</v>
      </c>
      <c r="CM66" s="98">
        <v>7</v>
      </c>
      <c r="CN66" s="32" t="s">
        <v>594</v>
      </c>
      <c r="CO66" s="99">
        <v>100000</v>
      </c>
      <c r="CP66" s="91"/>
    </row>
    <row r="67" spans="38:94" ht="12.75" customHeight="1" hidden="1">
      <c r="AL67" s="204" t="s">
        <v>595</v>
      </c>
      <c r="AN67" s="29">
        <v>65</v>
      </c>
      <c r="AO67" s="92" t="s">
        <v>175</v>
      </c>
      <c r="AP67" s="98">
        <v>7</v>
      </c>
      <c r="AQ67" s="98">
        <v>3</v>
      </c>
      <c r="AR67" s="98">
        <v>3</v>
      </c>
      <c r="AS67" s="98">
        <v>7</v>
      </c>
      <c r="AT67" s="32" t="s">
        <v>596</v>
      </c>
      <c r="AU67" s="99">
        <v>90000</v>
      </c>
      <c r="AV67" s="99" t="s">
        <v>108</v>
      </c>
      <c r="AW67" s="99" t="s">
        <v>109</v>
      </c>
      <c r="AX67" s="99">
        <v>2</v>
      </c>
      <c r="AY67" s="91"/>
      <c r="AZ67" s="205"/>
      <c r="BB67" s="9"/>
      <c r="BC67" s="9"/>
      <c r="BD67" s="205"/>
      <c r="BE67" s="9"/>
      <c r="BF67" s="206"/>
      <c r="BG67" s="9"/>
      <c r="BH67" s="205"/>
      <c r="CH67" s="29">
        <v>65</v>
      </c>
      <c r="CI67" s="92" t="s">
        <v>198</v>
      </c>
      <c r="CJ67" s="98">
        <v>7</v>
      </c>
      <c r="CK67" s="98">
        <v>3</v>
      </c>
      <c r="CL67" s="98">
        <v>3</v>
      </c>
      <c r="CM67" s="98">
        <v>7</v>
      </c>
      <c r="CN67" s="32" t="s">
        <v>597</v>
      </c>
      <c r="CO67" s="99">
        <v>120000</v>
      </c>
      <c r="CP67" s="91"/>
    </row>
    <row r="68" spans="40:94" ht="12.75" customHeight="1" hidden="1">
      <c r="AN68" s="29">
        <v>66</v>
      </c>
      <c r="AO68" s="30" t="s">
        <v>222</v>
      </c>
      <c r="AP68" s="98">
        <v>6</v>
      </c>
      <c r="AQ68" s="98">
        <v>3</v>
      </c>
      <c r="AR68" s="98">
        <v>3</v>
      </c>
      <c r="AS68" s="98">
        <v>7</v>
      </c>
      <c r="AT68" s="32" t="s">
        <v>598</v>
      </c>
      <c r="AU68" s="99">
        <v>90000</v>
      </c>
      <c r="AV68" s="99" t="s">
        <v>160</v>
      </c>
      <c r="AW68" s="99" t="s">
        <v>161</v>
      </c>
      <c r="AX68" s="99">
        <v>2</v>
      </c>
      <c r="AY68" s="91"/>
      <c r="AZ68" s="205"/>
      <c r="BB68" s="9"/>
      <c r="BC68" s="9"/>
      <c r="BD68" s="205"/>
      <c r="BE68" s="9"/>
      <c r="BF68" s="206"/>
      <c r="BG68" s="9"/>
      <c r="BH68" s="205"/>
      <c r="CH68" s="29">
        <v>66</v>
      </c>
      <c r="CI68" s="30" t="s">
        <v>242</v>
      </c>
      <c r="CJ68" s="98">
        <v>6</v>
      </c>
      <c r="CK68" s="98">
        <v>3</v>
      </c>
      <c r="CL68" s="98">
        <v>3</v>
      </c>
      <c r="CM68" s="98">
        <v>7</v>
      </c>
      <c r="CN68" s="32" t="s">
        <v>599</v>
      </c>
      <c r="CO68" s="99">
        <v>120000</v>
      </c>
      <c r="CP68" s="91"/>
    </row>
    <row r="69" spans="40:94" ht="12.75" customHeight="1" hidden="1">
      <c r="AN69" s="29">
        <v>67</v>
      </c>
      <c r="AO69" s="30" t="s">
        <v>262</v>
      </c>
      <c r="AP69" s="98">
        <v>6</v>
      </c>
      <c r="AQ69" s="98">
        <v>4</v>
      </c>
      <c r="AR69" s="98">
        <v>2</v>
      </c>
      <c r="AS69" s="98">
        <v>8</v>
      </c>
      <c r="AT69" s="32" t="s">
        <v>600</v>
      </c>
      <c r="AU69" s="99">
        <v>110000</v>
      </c>
      <c r="AV69" s="99" t="s">
        <v>160</v>
      </c>
      <c r="AW69" s="99" t="s">
        <v>161</v>
      </c>
      <c r="AX69" s="99">
        <v>2</v>
      </c>
      <c r="AY69" s="91"/>
      <c r="AZ69" s="205"/>
      <c r="BB69" s="9"/>
      <c r="BC69" s="9"/>
      <c r="BD69" s="205"/>
      <c r="BE69" s="9"/>
      <c r="BF69" s="206"/>
      <c r="BG69" s="9"/>
      <c r="BH69" s="205"/>
      <c r="CH69" s="29">
        <v>67</v>
      </c>
      <c r="CI69" s="30" t="s">
        <v>275</v>
      </c>
      <c r="CJ69" s="98">
        <v>6</v>
      </c>
      <c r="CK69" s="98">
        <v>4</v>
      </c>
      <c r="CL69" s="98">
        <v>2</v>
      </c>
      <c r="CM69" s="98">
        <v>8</v>
      </c>
      <c r="CN69" s="32" t="s">
        <v>601</v>
      </c>
      <c r="CO69" s="99">
        <v>140000</v>
      </c>
      <c r="CP69" s="91"/>
    </row>
    <row r="70" spans="40:94" ht="12.75" customHeight="1" hidden="1">
      <c r="AN70" s="29">
        <v>68</v>
      </c>
      <c r="AO70" s="86" t="s">
        <v>295</v>
      </c>
      <c r="AP70" s="169">
        <v>5</v>
      </c>
      <c r="AQ70" s="169">
        <v>5</v>
      </c>
      <c r="AR70" s="169">
        <v>1</v>
      </c>
      <c r="AS70" s="169">
        <v>8</v>
      </c>
      <c r="AT70" s="88" t="s">
        <v>602</v>
      </c>
      <c r="AU70" s="170">
        <v>140000</v>
      </c>
      <c r="AV70" s="170" t="s">
        <v>349</v>
      </c>
      <c r="AW70" s="170" t="s">
        <v>285</v>
      </c>
      <c r="AX70" s="170">
        <v>1</v>
      </c>
      <c r="AY70" s="91"/>
      <c r="AZ70" s="205"/>
      <c r="BB70" s="9"/>
      <c r="BC70" s="9"/>
      <c r="BD70" s="205"/>
      <c r="BE70" s="9"/>
      <c r="BF70" s="206"/>
      <c r="BG70" s="9"/>
      <c r="BH70" s="205"/>
      <c r="CH70" s="29">
        <v>68</v>
      </c>
      <c r="CI70" s="86" t="s">
        <v>302</v>
      </c>
      <c r="CJ70" s="169">
        <v>5</v>
      </c>
      <c r="CK70" s="169">
        <v>5</v>
      </c>
      <c r="CL70" s="169">
        <v>1</v>
      </c>
      <c r="CM70" s="169">
        <v>8</v>
      </c>
      <c r="CN70" s="88" t="s">
        <v>602</v>
      </c>
      <c r="CO70" s="170">
        <v>170000</v>
      </c>
      <c r="CP70" s="91"/>
    </row>
    <row r="71" spans="40:94" ht="12.75" customHeight="1" hidden="1">
      <c r="AN71" s="29">
        <v>69</v>
      </c>
      <c r="AO71" s="53" t="s">
        <v>71</v>
      </c>
      <c r="AP71" s="96">
        <v>5</v>
      </c>
      <c r="AQ71" s="96">
        <v>3</v>
      </c>
      <c r="AR71" s="96">
        <v>3</v>
      </c>
      <c r="AS71" s="96">
        <v>8</v>
      </c>
      <c r="AT71" s="55" t="s">
        <v>603</v>
      </c>
      <c r="AU71" s="97">
        <v>40000</v>
      </c>
      <c r="AV71" s="97" t="s">
        <v>392</v>
      </c>
      <c r="AW71" s="97" t="s">
        <v>27</v>
      </c>
      <c r="AX71" s="97">
        <v>16</v>
      </c>
      <c r="AY71" s="57" t="s">
        <v>43</v>
      </c>
      <c r="AZ71" s="205"/>
      <c r="BB71" s="9"/>
      <c r="BC71" s="9"/>
      <c r="BD71" s="205"/>
      <c r="BE71" s="9"/>
      <c r="BF71" s="206"/>
      <c r="BG71" s="9"/>
      <c r="BH71" s="205"/>
      <c r="CH71" s="29">
        <v>69</v>
      </c>
      <c r="CI71" s="53" t="s">
        <v>96</v>
      </c>
      <c r="CJ71" s="96">
        <v>5</v>
      </c>
      <c r="CK71" s="96">
        <v>3</v>
      </c>
      <c r="CL71" s="96">
        <v>3</v>
      </c>
      <c r="CM71" s="96">
        <v>8</v>
      </c>
      <c r="CN71" s="55" t="s">
        <v>604</v>
      </c>
      <c r="CO71" s="97">
        <v>70000</v>
      </c>
      <c r="CP71" s="57" t="s">
        <v>43</v>
      </c>
    </row>
    <row r="72" spans="40:94" ht="12.75" customHeight="1" hidden="1">
      <c r="AN72" s="29">
        <v>70</v>
      </c>
      <c r="AO72" s="30" t="s">
        <v>124</v>
      </c>
      <c r="AP72" s="98">
        <v>6</v>
      </c>
      <c r="AQ72" s="98">
        <v>3</v>
      </c>
      <c r="AR72" s="98">
        <v>3</v>
      </c>
      <c r="AS72" s="98">
        <v>8</v>
      </c>
      <c r="AT72" s="32" t="s">
        <v>605</v>
      </c>
      <c r="AU72" s="99">
        <v>80000</v>
      </c>
      <c r="AV72" s="99" t="s">
        <v>208</v>
      </c>
      <c r="AW72" s="99" t="s">
        <v>161</v>
      </c>
      <c r="AX72" s="99">
        <v>4</v>
      </c>
      <c r="AY72" s="57"/>
      <c r="AZ72" s="205"/>
      <c r="BB72" s="9"/>
      <c r="BC72" s="9"/>
      <c r="BD72" s="205"/>
      <c r="BE72" s="9"/>
      <c r="BF72" s="206"/>
      <c r="BG72" s="9"/>
      <c r="BH72" s="205"/>
      <c r="CH72" s="29">
        <v>70</v>
      </c>
      <c r="CI72" s="30" t="s">
        <v>148</v>
      </c>
      <c r="CJ72" s="98">
        <v>6</v>
      </c>
      <c r="CK72" s="98">
        <v>3</v>
      </c>
      <c r="CL72" s="98">
        <v>3</v>
      </c>
      <c r="CM72" s="98">
        <v>8</v>
      </c>
      <c r="CN72" s="32" t="s">
        <v>606</v>
      </c>
      <c r="CO72" s="99">
        <v>110000</v>
      </c>
      <c r="CP72" s="57"/>
    </row>
    <row r="73" spans="40:94" ht="12.75" customHeight="1" hidden="1">
      <c r="AN73" s="29">
        <v>71</v>
      </c>
      <c r="AO73" s="30" t="s">
        <v>176</v>
      </c>
      <c r="AP73" s="98">
        <v>4</v>
      </c>
      <c r="AQ73" s="98">
        <v>4</v>
      </c>
      <c r="AR73" s="98">
        <v>2</v>
      </c>
      <c r="AS73" s="98">
        <v>9</v>
      </c>
      <c r="AT73" s="32" t="s">
        <v>607</v>
      </c>
      <c r="AU73" s="99">
        <v>110000</v>
      </c>
      <c r="AV73" s="99" t="s">
        <v>208</v>
      </c>
      <c r="AW73" s="99" t="s">
        <v>161</v>
      </c>
      <c r="AX73" s="99">
        <v>4</v>
      </c>
      <c r="AY73" s="57"/>
      <c r="AZ73" s="205"/>
      <c r="BB73" s="9"/>
      <c r="BC73" s="9"/>
      <c r="BD73" s="205"/>
      <c r="BE73" s="9"/>
      <c r="BF73" s="206"/>
      <c r="BG73" s="9"/>
      <c r="BH73" s="205"/>
      <c r="CH73" s="29">
        <v>71</v>
      </c>
      <c r="CI73" s="30" t="s">
        <v>199</v>
      </c>
      <c r="CJ73" s="98">
        <v>4</v>
      </c>
      <c r="CK73" s="98">
        <v>4</v>
      </c>
      <c r="CL73" s="98">
        <v>2</v>
      </c>
      <c r="CM73" s="98">
        <v>9</v>
      </c>
      <c r="CN73" s="32" t="s">
        <v>608</v>
      </c>
      <c r="CO73" s="99">
        <v>140000</v>
      </c>
      <c r="CP73" s="57"/>
    </row>
    <row r="74" spans="40:94" ht="12.75" customHeight="1" hidden="1">
      <c r="AN74" s="29">
        <v>72</v>
      </c>
      <c r="AO74" s="86" t="s">
        <v>223</v>
      </c>
      <c r="AP74" s="169">
        <v>4</v>
      </c>
      <c r="AQ74" s="169">
        <v>5</v>
      </c>
      <c r="AR74" s="169">
        <v>1</v>
      </c>
      <c r="AS74" s="169">
        <v>9</v>
      </c>
      <c r="AT74" s="88" t="s">
        <v>609</v>
      </c>
      <c r="AU74" s="170">
        <v>140000</v>
      </c>
      <c r="AV74" s="170" t="s">
        <v>349</v>
      </c>
      <c r="AW74" s="170" t="s">
        <v>350</v>
      </c>
      <c r="AX74" s="170">
        <v>1</v>
      </c>
      <c r="AY74" s="57"/>
      <c r="AZ74" s="205"/>
      <c r="BB74" s="9"/>
      <c r="BC74" s="9"/>
      <c r="BD74" s="205"/>
      <c r="BE74" s="9"/>
      <c r="BF74" s="206"/>
      <c r="BG74" s="9"/>
      <c r="BH74" s="205"/>
      <c r="CH74" s="29">
        <v>72</v>
      </c>
      <c r="CI74" s="86" t="s">
        <v>243</v>
      </c>
      <c r="CJ74" s="169">
        <v>4</v>
      </c>
      <c r="CK74" s="169">
        <v>5</v>
      </c>
      <c r="CL74" s="169">
        <v>1</v>
      </c>
      <c r="CM74" s="169">
        <v>9</v>
      </c>
      <c r="CN74" s="88" t="s">
        <v>609</v>
      </c>
      <c r="CO74" s="170">
        <v>170000</v>
      </c>
      <c r="CP74" s="57"/>
    </row>
    <row r="75" spans="40:94" ht="12.75" customHeight="1" hidden="1">
      <c r="AN75" s="29">
        <v>73</v>
      </c>
      <c r="AO75" s="53" t="s">
        <v>72</v>
      </c>
      <c r="AP75" s="96">
        <v>5</v>
      </c>
      <c r="AQ75" s="96">
        <v>1</v>
      </c>
      <c r="AR75" s="96">
        <v>3</v>
      </c>
      <c r="AS75" s="96">
        <v>5</v>
      </c>
      <c r="AT75" s="55" t="s">
        <v>610</v>
      </c>
      <c r="AU75" s="97">
        <v>20000</v>
      </c>
      <c r="AV75" s="97" t="s">
        <v>359</v>
      </c>
      <c r="AW75" s="97" t="s">
        <v>375</v>
      </c>
      <c r="AX75" s="97">
        <v>16</v>
      </c>
      <c r="AY75" s="91" t="s">
        <v>44</v>
      </c>
      <c r="AZ75" s="205"/>
      <c r="BB75" s="9"/>
      <c r="BC75" s="9"/>
      <c r="BD75" s="205"/>
      <c r="BE75" s="9"/>
      <c r="BF75" s="206"/>
      <c r="BG75" s="9"/>
      <c r="BH75" s="205"/>
      <c r="CH75" s="29">
        <v>73</v>
      </c>
      <c r="CI75" s="53" t="s">
        <v>97</v>
      </c>
      <c r="CJ75" s="96">
        <v>5</v>
      </c>
      <c r="CK75" s="96">
        <v>1</v>
      </c>
      <c r="CL75" s="96">
        <v>3</v>
      </c>
      <c r="CM75" s="96">
        <v>5</v>
      </c>
      <c r="CN75" s="55" t="s">
        <v>611</v>
      </c>
      <c r="CO75" s="97">
        <v>50000</v>
      </c>
      <c r="CP75" s="91" t="s">
        <v>44</v>
      </c>
    </row>
    <row r="76" spans="40:94" ht="12.75" customHeight="1" hidden="1">
      <c r="AN76" s="29">
        <v>74</v>
      </c>
      <c r="AO76" s="86" t="s">
        <v>125</v>
      </c>
      <c r="AP76" s="169">
        <v>5</v>
      </c>
      <c r="AQ76" s="169">
        <v>5</v>
      </c>
      <c r="AR76" s="169">
        <v>2</v>
      </c>
      <c r="AS76" s="169">
        <v>9</v>
      </c>
      <c r="AT76" s="88" t="s">
        <v>612</v>
      </c>
      <c r="AU76" s="170">
        <v>140000</v>
      </c>
      <c r="AV76" s="170" t="s">
        <v>349</v>
      </c>
      <c r="AW76" s="170" t="s">
        <v>285</v>
      </c>
      <c r="AX76" s="170">
        <v>6</v>
      </c>
      <c r="AY76" s="91"/>
      <c r="AZ76" s="205"/>
      <c r="BB76" s="9"/>
      <c r="BC76" s="9"/>
      <c r="BD76" s="205"/>
      <c r="BE76" s="9"/>
      <c r="BF76" s="206"/>
      <c r="BG76" s="9"/>
      <c r="BH76" s="205"/>
      <c r="CH76" s="29">
        <v>74</v>
      </c>
      <c r="CI76" s="86" t="s">
        <v>149</v>
      </c>
      <c r="CJ76" s="169">
        <v>5</v>
      </c>
      <c r="CK76" s="169">
        <v>5</v>
      </c>
      <c r="CL76" s="169">
        <v>2</v>
      </c>
      <c r="CM76" s="169">
        <v>9</v>
      </c>
      <c r="CN76" s="88" t="s">
        <v>415</v>
      </c>
      <c r="CO76" s="170">
        <v>170000</v>
      </c>
      <c r="CP76" s="91"/>
    </row>
    <row r="77" spans="40:94" ht="12.75" customHeight="1" hidden="1">
      <c r="AN77" s="29">
        <v>75</v>
      </c>
      <c r="AO77" s="53" t="s">
        <v>73</v>
      </c>
      <c r="AP77" s="96">
        <v>5</v>
      </c>
      <c r="AQ77" s="96">
        <v>3</v>
      </c>
      <c r="AR77" s="96">
        <v>3</v>
      </c>
      <c r="AS77" s="96">
        <v>9</v>
      </c>
      <c r="AT77" s="55"/>
      <c r="AU77" s="97">
        <v>50000</v>
      </c>
      <c r="AV77" s="97" t="s">
        <v>26</v>
      </c>
      <c r="AW77" s="97" t="s">
        <v>27</v>
      </c>
      <c r="AX77" s="97">
        <v>16</v>
      </c>
      <c r="AY77" s="57" t="s">
        <v>45</v>
      </c>
      <c r="AZ77" s="205"/>
      <c r="BB77" s="9"/>
      <c r="BC77" s="9"/>
      <c r="BD77" s="205"/>
      <c r="BE77" s="9"/>
      <c r="BF77" s="206"/>
      <c r="BG77" s="9"/>
      <c r="BH77" s="205"/>
      <c r="CH77" s="29">
        <v>75</v>
      </c>
      <c r="CI77" s="53" t="s">
        <v>98</v>
      </c>
      <c r="CJ77" s="96">
        <v>5</v>
      </c>
      <c r="CK77" s="96">
        <v>3</v>
      </c>
      <c r="CL77" s="96">
        <v>3</v>
      </c>
      <c r="CM77" s="96">
        <v>9</v>
      </c>
      <c r="CN77" s="55" t="s">
        <v>268</v>
      </c>
      <c r="CO77" s="97">
        <v>80000</v>
      </c>
      <c r="CP77" s="57" t="s">
        <v>45</v>
      </c>
    </row>
    <row r="78" spans="40:94" ht="12.75" customHeight="1" hidden="1">
      <c r="AN78" s="29">
        <v>76</v>
      </c>
      <c r="AO78" s="6" t="s">
        <v>126</v>
      </c>
      <c r="AP78" s="7">
        <v>6</v>
      </c>
      <c r="AQ78" s="7">
        <v>2</v>
      </c>
      <c r="AR78" s="7">
        <v>3</v>
      </c>
      <c r="AS78" s="7">
        <v>7</v>
      </c>
      <c r="AT78" s="8" t="s">
        <v>613</v>
      </c>
      <c r="AU78" s="9">
        <v>40000</v>
      </c>
      <c r="AV78" s="9" t="s">
        <v>359</v>
      </c>
      <c r="AW78" s="9" t="s">
        <v>375</v>
      </c>
      <c r="AX78" s="9">
        <v>4</v>
      </c>
      <c r="AY78" s="57"/>
      <c r="AZ78" s="205"/>
      <c r="BB78" s="9"/>
      <c r="BC78" s="9"/>
      <c r="BD78" s="205"/>
      <c r="BE78" s="9"/>
      <c r="BF78" s="206"/>
      <c r="BG78" s="9"/>
      <c r="BH78" s="205"/>
      <c r="CH78" s="29">
        <v>76</v>
      </c>
      <c r="CI78" s="6" t="s">
        <v>150</v>
      </c>
      <c r="CJ78" s="7">
        <v>6</v>
      </c>
      <c r="CK78" s="7">
        <v>2</v>
      </c>
      <c r="CL78" s="7">
        <v>3</v>
      </c>
      <c r="CM78" s="7">
        <v>7</v>
      </c>
      <c r="CN78" s="8" t="s">
        <v>614</v>
      </c>
      <c r="CO78" s="9">
        <v>70000</v>
      </c>
      <c r="CP78" s="57"/>
    </row>
    <row r="79" spans="40:94" ht="12.75" customHeight="1" hidden="1">
      <c r="AN79" s="29">
        <v>77</v>
      </c>
      <c r="AO79" s="30" t="s">
        <v>177</v>
      </c>
      <c r="AP79" s="98">
        <v>5</v>
      </c>
      <c r="AQ79" s="98">
        <v>3</v>
      </c>
      <c r="AR79" s="98">
        <v>3</v>
      </c>
      <c r="AS79" s="98">
        <v>8</v>
      </c>
      <c r="AT79" s="32" t="s">
        <v>542</v>
      </c>
      <c r="AU79" s="99">
        <v>70000</v>
      </c>
      <c r="AV79" s="99" t="s">
        <v>57</v>
      </c>
      <c r="AW79" s="99" t="s">
        <v>58</v>
      </c>
      <c r="AX79" s="99">
        <v>2</v>
      </c>
      <c r="AY79" s="57"/>
      <c r="AZ79" s="205"/>
      <c r="BB79" s="9"/>
      <c r="BC79" s="9"/>
      <c r="BD79" s="205"/>
      <c r="BE79" s="9"/>
      <c r="BF79" s="206"/>
      <c r="BG79" s="9"/>
      <c r="BH79" s="205"/>
      <c r="CH79" s="29">
        <v>77</v>
      </c>
      <c r="CI79" s="30" t="s">
        <v>200</v>
      </c>
      <c r="CJ79" s="98">
        <v>5</v>
      </c>
      <c r="CK79" s="98">
        <v>3</v>
      </c>
      <c r="CL79" s="98">
        <v>3</v>
      </c>
      <c r="CM79" s="98">
        <v>8</v>
      </c>
      <c r="CN79" s="32" t="s">
        <v>543</v>
      </c>
      <c r="CO79" s="99">
        <v>100000</v>
      </c>
      <c r="CP79" s="57"/>
    </row>
    <row r="80" spans="40:94" ht="12.75" customHeight="1" hidden="1">
      <c r="AN80" s="29">
        <v>78</v>
      </c>
      <c r="AO80" s="30" t="s">
        <v>224</v>
      </c>
      <c r="AP80" s="98">
        <v>4</v>
      </c>
      <c r="AQ80" s="98">
        <v>4</v>
      </c>
      <c r="AR80" s="98">
        <v>2</v>
      </c>
      <c r="AS80" s="98">
        <v>9</v>
      </c>
      <c r="AT80" s="32"/>
      <c r="AU80" s="99">
        <v>80000</v>
      </c>
      <c r="AV80" s="99" t="s">
        <v>160</v>
      </c>
      <c r="AW80" s="99" t="s">
        <v>161</v>
      </c>
      <c r="AX80" s="99">
        <v>4</v>
      </c>
      <c r="AY80" s="57"/>
      <c r="AZ80" s="205"/>
      <c r="BB80" s="9"/>
      <c r="BC80" s="9"/>
      <c r="BD80" s="205"/>
      <c r="BE80" s="9"/>
      <c r="BF80" s="206"/>
      <c r="BG80" s="9"/>
      <c r="BH80" s="205"/>
      <c r="CH80" s="29">
        <v>78</v>
      </c>
      <c r="CI80" s="30" t="s">
        <v>244</v>
      </c>
      <c r="CJ80" s="98">
        <v>4</v>
      </c>
      <c r="CK80" s="98">
        <v>4</v>
      </c>
      <c r="CL80" s="98">
        <v>2</v>
      </c>
      <c r="CM80" s="98">
        <v>9</v>
      </c>
      <c r="CN80" s="32" t="s">
        <v>268</v>
      </c>
      <c r="CO80" s="99">
        <v>110000</v>
      </c>
      <c r="CP80" s="57"/>
    </row>
    <row r="81" spans="40:94" ht="12.75" customHeight="1" hidden="1">
      <c r="AN81" s="29">
        <v>79</v>
      </c>
      <c r="AO81" s="30" t="s">
        <v>263</v>
      </c>
      <c r="AP81" s="98">
        <v>6</v>
      </c>
      <c r="AQ81" s="98">
        <v>3</v>
      </c>
      <c r="AR81" s="98">
        <v>3</v>
      </c>
      <c r="AS81" s="98">
        <v>9</v>
      </c>
      <c r="AT81" s="32" t="s">
        <v>348</v>
      </c>
      <c r="AU81" s="99">
        <v>80000</v>
      </c>
      <c r="AV81" s="99" t="s">
        <v>160</v>
      </c>
      <c r="AW81" s="99" t="s">
        <v>161</v>
      </c>
      <c r="AX81" s="99">
        <v>4</v>
      </c>
      <c r="AY81" s="57"/>
      <c r="AZ81" s="205"/>
      <c r="BB81" s="9"/>
      <c r="BC81" s="9"/>
      <c r="BD81" s="205"/>
      <c r="BE81" s="9"/>
      <c r="BF81" s="206"/>
      <c r="BG81" s="9"/>
      <c r="BH81" s="205"/>
      <c r="CH81" s="29">
        <v>79</v>
      </c>
      <c r="CI81" s="30" t="s">
        <v>276</v>
      </c>
      <c r="CJ81" s="98">
        <v>6</v>
      </c>
      <c r="CK81" s="98">
        <v>3</v>
      </c>
      <c r="CL81" s="98">
        <v>3</v>
      </c>
      <c r="CM81" s="98">
        <v>9</v>
      </c>
      <c r="CN81" s="32" t="s">
        <v>445</v>
      </c>
      <c r="CO81" s="99">
        <v>110000</v>
      </c>
      <c r="CP81" s="57"/>
    </row>
    <row r="82" spans="39:94" ht="12.75" customHeight="1" hidden="1">
      <c r="AM82" s="207"/>
      <c r="AN82" s="29">
        <v>80</v>
      </c>
      <c r="AO82" s="30" t="s">
        <v>297</v>
      </c>
      <c r="AP82" s="98">
        <v>4</v>
      </c>
      <c r="AQ82" s="98">
        <v>5</v>
      </c>
      <c r="AR82" s="98">
        <v>1</v>
      </c>
      <c r="AS82" s="98">
        <v>9</v>
      </c>
      <c r="AT82" s="32" t="s">
        <v>409</v>
      </c>
      <c r="AU82" s="99">
        <v>110000</v>
      </c>
      <c r="AV82" s="99" t="s">
        <v>349</v>
      </c>
      <c r="AW82" s="99" t="s">
        <v>285</v>
      </c>
      <c r="AX82" s="99">
        <v>1</v>
      </c>
      <c r="AY82" s="57"/>
      <c r="AZ82" s="205"/>
      <c r="BB82" s="9"/>
      <c r="BC82" s="9"/>
      <c r="BD82" s="205"/>
      <c r="BE82" s="9"/>
      <c r="BF82" s="206"/>
      <c r="BG82" s="9"/>
      <c r="BH82" s="205"/>
      <c r="CH82" s="29">
        <v>80</v>
      </c>
      <c r="CI82" s="30" t="s">
        <v>303</v>
      </c>
      <c r="CJ82" s="98">
        <v>4</v>
      </c>
      <c r="CK82" s="98">
        <v>5</v>
      </c>
      <c r="CL82" s="98">
        <v>1</v>
      </c>
      <c r="CM82" s="98">
        <v>9</v>
      </c>
      <c r="CN82" s="32" t="s">
        <v>409</v>
      </c>
      <c r="CO82" s="99">
        <v>140000</v>
      </c>
      <c r="CP82" s="57"/>
    </row>
    <row r="83" spans="39:94" ht="12.75" customHeight="1" hidden="1">
      <c r="AM83" s="207"/>
      <c r="AN83" s="29">
        <v>81</v>
      </c>
      <c r="AO83" s="53" t="s">
        <v>74</v>
      </c>
      <c r="AP83" s="96">
        <v>7</v>
      </c>
      <c r="AQ83" s="96">
        <v>3</v>
      </c>
      <c r="AR83" s="96">
        <v>3</v>
      </c>
      <c r="AS83" s="96">
        <v>7</v>
      </c>
      <c r="AT83" s="55"/>
      <c r="AU83" s="97">
        <v>50000</v>
      </c>
      <c r="AV83" s="97" t="s">
        <v>26</v>
      </c>
      <c r="AW83" s="97" t="s">
        <v>615</v>
      </c>
      <c r="AX83" s="97">
        <v>16</v>
      </c>
      <c r="AY83" s="91" t="s">
        <v>46</v>
      </c>
      <c r="AZ83" s="205"/>
      <c r="BB83" s="9"/>
      <c r="BC83" s="9"/>
      <c r="BD83" s="205"/>
      <c r="BE83" s="9"/>
      <c r="BF83" s="206"/>
      <c r="BG83" s="9"/>
      <c r="BH83" s="205"/>
      <c r="CH83" s="29">
        <v>81</v>
      </c>
      <c r="CI83" s="53" t="s">
        <v>99</v>
      </c>
      <c r="CJ83" s="96">
        <v>7</v>
      </c>
      <c r="CK83" s="96">
        <v>3</v>
      </c>
      <c r="CL83" s="96">
        <v>3</v>
      </c>
      <c r="CM83" s="96">
        <v>7</v>
      </c>
      <c r="CN83" s="55" t="s">
        <v>268</v>
      </c>
      <c r="CO83" s="97">
        <v>80000</v>
      </c>
      <c r="CP83" s="91" t="s">
        <v>46</v>
      </c>
    </row>
    <row r="84" spans="38:94" ht="12.75" customHeight="1" hidden="1">
      <c r="AL84" s="207"/>
      <c r="AM84" s="207"/>
      <c r="AN84" s="29">
        <v>82</v>
      </c>
      <c r="AO84" s="30" t="s">
        <v>127</v>
      </c>
      <c r="AP84" s="98">
        <v>7</v>
      </c>
      <c r="AQ84" s="98">
        <v>3</v>
      </c>
      <c r="AR84" s="98">
        <v>3</v>
      </c>
      <c r="AS84" s="98">
        <v>7</v>
      </c>
      <c r="AT84" s="32" t="s">
        <v>616</v>
      </c>
      <c r="AU84" s="99">
        <v>70000</v>
      </c>
      <c r="AV84" s="99" t="s">
        <v>57</v>
      </c>
      <c r="AW84" s="99" t="s">
        <v>617</v>
      </c>
      <c r="AX84" s="99">
        <v>2</v>
      </c>
      <c r="AY84" s="91"/>
      <c r="AZ84" s="205"/>
      <c r="BB84" s="9"/>
      <c r="BC84" s="9"/>
      <c r="BD84" s="205"/>
      <c r="BE84" s="9"/>
      <c r="BF84" s="206"/>
      <c r="BG84" s="9"/>
      <c r="BH84" s="205"/>
      <c r="CH84" s="29">
        <v>82</v>
      </c>
      <c r="CI84" s="30" t="s">
        <v>151</v>
      </c>
      <c r="CJ84" s="98">
        <v>7</v>
      </c>
      <c r="CK84" s="98">
        <v>3</v>
      </c>
      <c r="CL84" s="98">
        <v>3</v>
      </c>
      <c r="CM84" s="98">
        <v>7</v>
      </c>
      <c r="CN84" s="32" t="s">
        <v>618</v>
      </c>
      <c r="CO84" s="99">
        <v>100000</v>
      </c>
      <c r="CP84" s="91"/>
    </row>
    <row r="85" spans="38:94" ht="12.75" customHeight="1" hidden="1">
      <c r="AL85" s="207"/>
      <c r="AM85" s="207"/>
      <c r="AN85" s="29">
        <v>83</v>
      </c>
      <c r="AO85" s="30" t="s">
        <v>178</v>
      </c>
      <c r="AP85" s="98">
        <v>9</v>
      </c>
      <c r="AQ85" s="98">
        <v>2</v>
      </c>
      <c r="AR85" s="98">
        <v>4</v>
      </c>
      <c r="AS85" s="98">
        <v>7</v>
      </c>
      <c r="AT85" s="32" t="s">
        <v>25</v>
      </c>
      <c r="AU85" s="99">
        <v>80000</v>
      </c>
      <c r="AV85" s="99" t="s">
        <v>108</v>
      </c>
      <c r="AW85" s="99" t="s">
        <v>619</v>
      </c>
      <c r="AX85" s="99">
        <v>4</v>
      </c>
      <c r="AY85" s="91"/>
      <c r="AZ85" s="205"/>
      <c r="BB85" s="9"/>
      <c r="BC85" s="9"/>
      <c r="BD85" s="205"/>
      <c r="BE85" s="9"/>
      <c r="BF85" s="206"/>
      <c r="BG85" s="9"/>
      <c r="BH85" s="205"/>
      <c r="CH85" s="29">
        <v>83</v>
      </c>
      <c r="CI85" s="30" t="s">
        <v>201</v>
      </c>
      <c r="CJ85" s="98">
        <v>9</v>
      </c>
      <c r="CK85" s="98">
        <v>2</v>
      </c>
      <c r="CL85" s="98">
        <v>4</v>
      </c>
      <c r="CM85" s="98">
        <v>7</v>
      </c>
      <c r="CN85" s="32" t="s">
        <v>53</v>
      </c>
      <c r="CO85" s="99">
        <v>110000</v>
      </c>
      <c r="CP85" s="91"/>
    </row>
    <row r="86" spans="38:94" ht="12.75" customHeight="1" hidden="1">
      <c r="AL86" s="207"/>
      <c r="AM86" s="207"/>
      <c r="AN86" s="29">
        <v>84</v>
      </c>
      <c r="AO86" s="30" t="s">
        <v>225</v>
      </c>
      <c r="AP86" s="98">
        <v>7</v>
      </c>
      <c r="AQ86" s="98">
        <v>3</v>
      </c>
      <c r="AR86" s="98">
        <v>3</v>
      </c>
      <c r="AS86" s="98">
        <v>8</v>
      </c>
      <c r="AT86" s="32" t="s">
        <v>348</v>
      </c>
      <c r="AU86" s="99">
        <v>90000</v>
      </c>
      <c r="AV86" s="99" t="s">
        <v>160</v>
      </c>
      <c r="AW86" s="99" t="s">
        <v>316</v>
      </c>
      <c r="AX86" s="99">
        <v>2</v>
      </c>
      <c r="AY86" s="91"/>
      <c r="AZ86" s="205"/>
      <c r="BB86" s="9"/>
      <c r="BC86" s="9"/>
      <c r="BD86" s="205"/>
      <c r="BE86" s="9"/>
      <c r="BF86" s="206"/>
      <c r="BG86" s="9"/>
      <c r="BH86" s="205"/>
      <c r="CH86" s="29">
        <v>84</v>
      </c>
      <c r="CI86" s="30" t="s">
        <v>245</v>
      </c>
      <c r="CJ86" s="98">
        <v>7</v>
      </c>
      <c r="CK86" s="98">
        <v>3</v>
      </c>
      <c r="CL86" s="98">
        <v>3</v>
      </c>
      <c r="CM86" s="98">
        <v>8</v>
      </c>
      <c r="CN86" s="32" t="s">
        <v>445</v>
      </c>
      <c r="CO86" s="99">
        <v>120000</v>
      </c>
      <c r="CP86" s="91"/>
    </row>
    <row r="87" spans="38:94" ht="12.75" customHeight="1" hidden="1">
      <c r="AL87" s="207"/>
      <c r="AN87" s="29">
        <v>85</v>
      </c>
      <c r="AO87" s="86" t="s">
        <v>264</v>
      </c>
      <c r="AP87" s="169">
        <v>6</v>
      </c>
      <c r="AQ87" s="169">
        <v>5</v>
      </c>
      <c r="AR87" s="169">
        <v>2</v>
      </c>
      <c r="AS87" s="169">
        <v>8</v>
      </c>
      <c r="AT87" s="88" t="s">
        <v>620</v>
      </c>
      <c r="AU87" s="170">
        <v>150000</v>
      </c>
      <c r="AV87" s="170" t="s">
        <v>349</v>
      </c>
      <c r="AW87" s="170" t="s">
        <v>350</v>
      </c>
      <c r="AX87" s="170">
        <v>1</v>
      </c>
      <c r="AY87" s="91"/>
      <c r="AZ87" s="205"/>
      <c r="BB87" s="9"/>
      <c r="BC87" s="9"/>
      <c r="BD87" s="205"/>
      <c r="BE87" s="9"/>
      <c r="BF87" s="206"/>
      <c r="BG87" s="9"/>
      <c r="BH87" s="205"/>
      <c r="CH87" s="29">
        <v>85</v>
      </c>
      <c r="CI87" s="86" t="s">
        <v>277</v>
      </c>
      <c r="CJ87" s="169">
        <v>6</v>
      </c>
      <c r="CK87" s="169">
        <v>5</v>
      </c>
      <c r="CL87" s="169">
        <v>2</v>
      </c>
      <c r="CM87" s="169">
        <v>8</v>
      </c>
      <c r="CN87" s="88" t="s">
        <v>620</v>
      </c>
      <c r="CO87" s="170">
        <v>180000</v>
      </c>
      <c r="CP87" s="91"/>
    </row>
    <row r="88" spans="38:94" ht="12.75" customHeight="1" hidden="1">
      <c r="AL88" s="207"/>
      <c r="AN88" s="29">
        <v>86</v>
      </c>
      <c r="AO88" s="30" t="s">
        <v>75</v>
      </c>
      <c r="AP88" s="98">
        <v>6</v>
      </c>
      <c r="AQ88" s="98">
        <v>3</v>
      </c>
      <c r="AR88" s="98">
        <v>3</v>
      </c>
      <c r="AS88" s="98">
        <v>8</v>
      </c>
      <c r="AT88" s="32" t="s">
        <v>621</v>
      </c>
      <c r="AU88" s="99">
        <v>60000</v>
      </c>
      <c r="AV88" s="99" t="s">
        <v>26</v>
      </c>
      <c r="AW88" s="99" t="s">
        <v>27</v>
      </c>
      <c r="AX88" s="99">
        <v>16</v>
      </c>
      <c r="AY88" s="100" t="s">
        <v>47</v>
      </c>
      <c r="AZ88" s="205"/>
      <c r="BB88" s="9"/>
      <c r="BC88" s="9"/>
      <c r="BD88" s="205"/>
      <c r="BE88" s="9"/>
      <c r="BF88" s="206"/>
      <c r="BG88" s="9"/>
      <c r="BH88" s="205"/>
      <c r="CH88" s="29">
        <v>86</v>
      </c>
      <c r="CI88" s="30" t="s">
        <v>100</v>
      </c>
      <c r="CJ88" s="98">
        <v>6</v>
      </c>
      <c r="CK88" s="98">
        <v>3</v>
      </c>
      <c r="CL88" s="98">
        <v>3</v>
      </c>
      <c r="CM88" s="98">
        <v>8</v>
      </c>
      <c r="CN88" s="32" t="s">
        <v>622</v>
      </c>
      <c r="CO88" s="99">
        <v>90000</v>
      </c>
      <c r="CP88" s="100" t="s">
        <v>47</v>
      </c>
    </row>
    <row r="89" spans="38:94" ht="12.75" customHeight="1" hidden="1">
      <c r="AL89" s="207"/>
      <c r="AN89" s="29">
        <v>87</v>
      </c>
      <c r="AO89" s="30" t="s">
        <v>128</v>
      </c>
      <c r="AP89" s="98">
        <v>7</v>
      </c>
      <c r="AQ89" s="98">
        <v>2</v>
      </c>
      <c r="AR89" s="98">
        <v>4</v>
      </c>
      <c r="AS89" s="98">
        <v>7</v>
      </c>
      <c r="AT89" s="32" t="s">
        <v>623</v>
      </c>
      <c r="AU89" s="99">
        <v>80000</v>
      </c>
      <c r="AV89" s="99" t="s">
        <v>108</v>
      </c>
      <c r="AW89" s="99" t="s">
        <v>109</v>
      </c>
      <c r="AX89" s="99">
        <v>4</v>
      </c>
      <c r="AY89" s="100"/>
      <c r="AZ89" s="205"/>
      <c r="BB89" s="9"/>
      <c r="BC89" s="9"/>
      <c r="BD89" s="205"/>
      <c r="BE89" s="9"/>
      <c r="BF89" s="206"/>
      <c r="BG89" s="9"/>
      <c r="BH89" s="205"/>
      <c r="CH89" s="29">
        <v>87</v>
      </c>
      <c r="CI89" s="30" t="s">
        <v>152</v>
      </c>
      <c r="CJ89" s="98">
        <v>7</v>
      </c>
      <c r="CK89" s="98">
        <v>2</v>
      </c>
      <c r="CL89" s="98">
        <v>4</v>
      </c>
      <c r="CM89" s="98">
        <v>7</v>
      </c>
      <c r="CN89" s="32" t="s">
        <v>624</v>
      </c>
      <c r="CO89" s="99">
        <v>110000</v>
      </c>
      <c r="CP89" s="100"/>
    </row>
    <row r="90" spans="38:94" ht="12.75" customHeight="1" hidden="1">
      <c r="AL90" s="207"/>
      <c r="AN90" s="29">
        <v>88</v>
      </c>
      <c r="AO90" s="30" t="s">
        <v>179</v>
      </c>
      <c r="AP90" s="98">
        <v>7</v>
      </c>
      <c r="AQ90" s="98">
        <v>3</v>
      </c>
      <c r="AR90" s="98">
        <v>3</v>
      </c>
      <c r="AS90" s="98">
        <v>8</v>
      </c>
      <c r="AT90" s="32" t="s">
        <v>625</v>
      </c>
      <c r="AU90" s="99">
        <v>110000</v>
      </c>
      <c r="AV90" s="99" t="s">
        <v>626</v>
      </c>
      <c r="AW90" s="99" t="s">
        <v>627</v>
      </c>
      <c r="AX90" s="99">
        <v>4</v>
      </c>
      <c r="AY90" s="100"/>
      <c r="AZ90" s="205"/>
      <c r="BB90" s="9"/>
      <c r="BC90" s="9"/>
      <c r="BD90" s="205"/>
      <c r="BE90" s="9"/>
      <c r="BF90" s="206"/>
      <c r="BG90" s="9"/>
      <c r="BH90" s="205"/>
      <c r="CH90" s="29">
        <v>88</v>
      </c>
      <c r="CI90" s="30" t="s">
        <v>202</v>
      </c>
      <c r="CJ90" s="98">
        <v>7</v>
      </c>
      <c r="CK90" s="98">
        <v>3</v>
      </c>
      <c r="CL90" s="98">
        <v>3</v>
      </c>
      <c r="CM90" s="98">
        <v>8</v>
      </c>
      <c r="CN90" s="32" t="s">
        <v>628</v>
      </c>
      <c r="CO90" s="99">
        <v>140000</v>
      </c>
      <c r="CP90" s="100"/>
    </row>
    <row r="91" spans="38:94" ht="12.75" customHeight="1" hidden="1">
      <c r="AL91" s="207"/>
      <c r="AM91" s="207"/>
      <c r="AN91" s="29">
        <v>89</v>
      </c>
      <c r="AO91" s="86" t="s">
        <v>226</v>
      </c>
      <c r="AP91" s="169">
        <v>6</v>
      </c>
      <c r="AQ91" s="169">
        <v>5</v>
      </c>
      <c r="AR91" s="169">
        <v>1</v>
      </c>
      <c r="AS91" s="169">
        <v>9</v>
      </c>
      <c r="AT91" s="88" t="s">
        <v>579</v>
      </c>
      <c r="AU91" s="170">
        <v>140000</v>
      </c>
      <c r="AV91" s="170" t="s">
        <v>349</v>
      </c>
      <c r="AW91" s="170" t="s">
        <v>285</v>
      </c>
      <c r="AX91" s="170">
        <v>1</v>
      </c>
      <c r="AY91" s="100"/>
      <c r="AZ91" s="205"/>
      <c r="BB91" s="9"/>
      <c r="BC91" s="9"/>
      <c r="BD91" s="205"/>
      <c r="BE91" s="9"/>
      <c r="BF91" s="206"/>
      <c r="BG91" s="9"/>
      <c r="BH91" s="205"/>
      <c r="CH91" s="29">
        <v>89</v>
      </c>
      <c r="CI91" s="86" t="s">
        <v>246</v>
      </c>
      <c r="CJ91" s="169">
        <v>6</v>
      </c>
      <c r="CK91" s="169">
        <v>5</v>
      </c>
      <c r="CL91" s="169">
        <v>1</v>
      </c>
      <c r="CM91" s="169">
        <v>9</v>
      </c>
      <c r="CN91" s="88" t="s">
        <v>579</v>
      </c>
      <c r="CO91" s="170">
        <v>170000</v>
      </c>
      <c r="CP91" s="100"/>
    </row>
    <row r="92" spans="38:94" ht="12.75" customHeight="1" hidden="1">
      <c r="AL92" s="207"/>
      <c r="AM92" s="207"/>
      <c r="AN92" s="29">
        <v>90</v>
      </c>
      <c r="AO92" s="53" t="s">
        <v>76</v>
      </c>
      <c r="AP92" s="54">
        <v>5</v>
      </c>
      <c r="AQ92" s="54">
        <v>3</v>
      </c>
      <c r="AR92" s="54">
        <v>2</v>
      </c>
      <c r="AS92" s="54">
        <v>7</v>
      </c>
      <c r="AT92" s="55" t="s">
        <v>559</v>
      </c>
      <c r="AU92" s="56">
        <v>40000</v>
      </c>
      <c r="AV92" s="56" t="s">
        <v>26</v>
      </c>
      <c r="AW92" s="56" t="s">
        <v>27</v>
      </c>
      <c r="AX92" s="56">
        <v>16</v>
      </c>
      <c r="AY92" s="57" t="s">
        <v>48</v>
      </c>
      <c r="AZ92" s="205"/>
      <c r="BB92" s="9"/>
      <c r="BC92" s="9"/>
      <c r="BD92" s="205"/>
      <c r="BE92" s="9"/>
      <c r="BF92" s="206"/>
      <c r="BG92" s="9"/>
      <c r="BH92" s="205"/>
      <c r="CH92" s="29">
        <v>90</v>
      </c>
      <c r="CI92" s="53" t="s">
        <v>101</v>
      </c>
      <c r="CJ92" s="54">
        <v>5</v>
      </c>
      <c r="CK92" s="54">
        <v>3</v>
      </c>
      <c r="CL92" s="54">
        <v>2</v>
      </c>
      <c r="CM92" s="54">
        <v>7</v>
      </c>
      <c r="CN92" s="55" t="s">
        <v>560</v>
      </c>
      <c r="CO92" s="56">
        <v>70000</v>
      </c>
      <c r="CP92" s="57" t="s">
        <v>48</v>
      </c>
    </row>
    <row r="93" spans="38:94" ht="12.75" customHeight="1" hidden="1">
      <c r="AL93" s="207"/>
      <c r="AM93" s="207"/>
      <c r="AN93" s="29">
        <v>91</v>
      </c>
      <c r="AO93" s="208" t="s">
        <v>129</v>
      </c>
      <c r="AP93" s="31">
        <v>4</v>
      </c>
      <c r="AQ93" s="31">
        <v>3</v>
      </c>
      <c r="AR93" s="31">
        <v>2</v>
      </c>
      <c r="AS93" s="31">
        <v>8</v>
      </c>
      <c r="AT93" s="32" t="s">
        <v>581</v>
      </c>
      <c r="AU93" s="33">
        <v>40000</v>
      </c>
      <c r="AV93" s="33" t="s">
        <v>26</v>
      </c>
      <c r="AW93" s="33" t="s">
        <v>27</v>
      </c>
      <c r="AX93" s="33">
        <v>16</v>
      </c>
      <c r="AY93" s="57"/>
      <c r="AZ93" s="205"/>
      <c r="BB93" s="9"/>
      <c r="BC93" s="9"/>
      <c r="BD93" s="205"/>
      <c r="BE93" s="9"/>
      <c r="BF93" s="206"/>
      <c r="BG93" s="9"/>
      <c r="BH93" s="205"/>
      <c r="CH93" s="29">
        <v>91</v>
      </c>
      <c r="CI93" s="208" t="s">
        <v>153</v>
      </c>
      <c r="CJ93" s="31">
        <v>4</v>
      </c>
      <c r="CK93" s="31">
        <v>3</v>
      </c>
      <c r="CL93" s="31">
        <v>2</v>
      </c>
      <c r="CM93" s="31">
        <v>8</v>
      </c>
      <c r="CN93" s="32" t="s">
        <v>582</v>
      </c>
      <c r="CO93" s="33">
        <v>70000</v>
      </c>
      <c r="CP93" s="57"/>
    </row>
    <row r="94" spans="38:94" ht="12.75" customHeight="1" hidden="1">
      <c r="AL94" s="207"/>
      <c r="AM94" s="207"/>
      <c r="AN94" s="29">
        <v>92</v>
      </c>
      <c r="AO94" s="208" t="s">
        <v>180</v>
      </c>
      <c r="AP94" s="31">
        <v>7</v>
      </c>
      <c r="AQ94" s="31">
        <v>3</v>
      </c>
      <c r="AR94" s="31">
        <v>3</v>
      </c>
      <c r="AS94" s="31">
        <v>7</v>
      </c>
      <c r="AT94" s="32" t="s">
        <v>25</v>
      </c>
      <c r="AU94" s="33">
        <v>70000</v>
      </c>
      <c r="AV94" s="33" t="s">
        <v>108</v>
      </c>
      <c r="AW94" s="33" t="s">
        <v>109</v>
      </c>
      <c r="AX94" s="33">
        <v>4</v>
      </c>
      <c r="AY94" s="57"/>
      <c r="AZ94" s="205"/>
      <c r="BB94" s="9"/>
      <c r="BC94" s="9"/>
      <c r="BD94" s="205"/>
      <c r="BE94" s="9"/>
      <c r="BF94" s="206"/>
      <c r="BG94" s="9"/>
      <c r="BH94" s="205"/>
      <c r="CH94" s="29">
        <v>92</v>
      </c>
      <c r="CI94" s="208" t="s">
        <v>203</v>
      </c>
      <c r="CJ94" s="31">
        <v>7</v>
      </c>
      <c r="CK94" s="31">
        <v>3</v>
      </c>
      <c r="CL94" s="31">
        <v>3</v>
      </c>
      <c r="CM94" s="31">
        <v>7</v>
      </c>
      <c r="CN94" s="32" t="s">
        <v>53</v>
      </c>
      <c r="CO94" s="33">
        <v>100000</v>
      </c>
      <c r="CP94" s="57"/>
    </row>
    <row r="95" spans="38:94" ht="12.75" customHeight="1" hidden="1">
      <c r="AL95" s="207"/>
      <c r="AM95" s="207"/>
      <c r="AN95" s="29">
        <v>93</v>
      </c>
      <c r="AO95" s="208" t="s">
        <v>227</v>
      </c>
      <c r="AP95" s="31">
        <v>6</v>
      </c>
      <c r="AQ95" s="31">
        <v>3</v>
      </c>
      <c r="AR95" s="31">
        <v>3</v>
      </c>
      <c r="AS95" s="31">
        <v>8</v>
      </c>
      <c r="AT95" s="32" t="s">
        <v>567</v>
      </c>
      <c r="AU95" s="33">
        <v>90000</v>
      </c>
      <c r="AV95" s="33" t="s">
        <v>160</v>
      </c>
      <c r="AW95" s="33" t="s">
        <v>161</v>
      </c>
      <c r="AX95" s="33">
        <v>2</v>
      </c>
      <c r="AY95" s="57"/>
      <c r="AZ95" s="205"/>
      <c r="BB95" s="9"/>
      <c r="BC95" s="9"/>
      <c r="BD95" s="205"/>
      <c r="BE95" s="9"/>
      <c r="BF95" s="206"/>
      <c r="BG95" s="9"/>
      <c r="BH95" s="205"/>
      <c r="CH95" s="29">
        <v>93</v>
      </c>
      <c r="CI95" s="208" t="s">
        <v>247</v>
      </c>
      <c r="CJ95" s="31">
        <v>6</v>
      </c>
      <c r="CK95" s="31">
        <v>3</v>
      </c>
      <c r="CL95" s="31">
        <v>3</v>
      </c>
      <c r="CM95" s="31">
        <v>8</v>
      </c>
      <c r="CN95" s="32" t="s">
        <v>568</v>
      </c>
      <c r="CO95" s="33">
        <v>120000</v>
      </c>
      <c r="CP95" s="57"/>
    </row>
    <row r="96" spans="39:94" ht="12.75" customHeight="1" hidden="1">
      <c r="AM96" s="207"/>
      <c r="AN96" s="29">
        <v>94</v>
      </c>
      <c r="AO96" s="30" t="s">
        <v>265</v>
      </c>
      <c r="AP96" s="31">
        <v>3</v>
      </c>
      <c r="AQ96" s="31">
        <v>5</v>
      </c>
      <c r="AR96" s="31">
        <v>1</v>
      </c>
      <c r="AS96" s="31">
        <v>9</v>
      </c>
      <c r="AT96" s="32" t="s">
        <v>629</v>
      </c>
      <c r="AU96" s="33">
        <v>120000</v>
      </c>
      <c r="AV96" s="33" t="s">
        <v>349</v>
      </c>
      <c r="AW96" s="33" t="s">
        <v>285</v>
      </c>
      <c r="AX96" s="33">
        <v>2</v>
      </c>
      <c r="AY96" s="57"/>
      <c r="AZ96" s="205"/>
      <c r="BB96" s="9"/>
      <c r="BC96" s="9"/>
      <c r="BD96" s="205"/>
      <c r="BE96" s="9"/>
      <c r="BF96" s="206"/>
      <c r="BG96" s="9"/>
      <c r="BH96" s="205"/>
      <c r="CH96" s="29">
        <v>94</v>
      </c>
      <c r="CI96" s="30" t="s">
        <v>278</v>
      </c>
      <c r="CJ96" s="31">
        <v>3</v>
      </c>
      <c r="CK96" s="31">
        <v>5</v>
      </c>
      <c r="CL96" s="31">
        <v>1</v>
      </c>
      <c r="CM96" s="31">
        <v>9</v>
      </c>
      <c r="CN96" s="32" t="s">
        <v>630</v>
      </c>
      <c r="CO96" s="33">
        <v>150000</v>
      </c>
      <c r="CP96" s="57"/>
    </row>
    <row r="97" spans="39:94" ht="12.75" customHeight="1" hidden="1">
      <c r="AM97" s="207"/>
      <c r="AN97" s="29">
        <v>95</v>
      </c>
      <c r="AO97" s="53" t="s">
        <v>77</v>
      </c>
      <c r="AP97" s="96">
        <v>6</v>
      </c>
      <c r="AQ97" s="96">
        <v>2</v>
      </c>
      <c r="AR97" s="96">
        <v>3</v>
      </c>
      <c r="AS97" s="96">
        <v>7</v>
      </c>
      <c r="AT97" s="55" t="s">
        <v>613</v>
      </c>
      <c r="AU97" s="97">
        <v>40000</v>
      </c>
      <c r="AV97" s="97" t="s">
        <v>374</v>
      </c>
      <c r="AW97" s="97" t="s">
        <v>375</v>
      </c>
      <c r="AX97" s="97">
        <v>12</v>
      </c>
      <c r="AY97" s="100" t="s">
        <v>49</v>
      </c>
      <c r="AZ97" s="205"/>
      <c r="BB97" s="9"/>
      <c r="BC97" s="9"/>
      <c r="BD97" s="205"/>
      <c r="BE97" s="9"/>
      <c r="BF97" s="206"/>
      <c r="BG97" s="9"/>
      <c r="BH97" s="205"/>
      <c r="CH97" s="29">
        <v>95</v>
      </c>
      <c r="CI97" s="53" t="s">
        <v>102</v>
      </c>
      <c r="CJ97" s="96">
        <v>6</v>
      </c>
      <c r="CK97" s="96">
        <v>2</v>
      </c>
      <c r="CL97" s="96">
        <v>3</v>
      </c>
      <c r="CM97" s="96">
        <v>7</v>
      </c>
      <c r="CN97" s="55" t="s">
        <v>614</v>
      </c>
      <c r="CO97" s="97">
        <v>70000</v>
      </c>
      <c r="CP97" s="100" t="s">
        <v>49</v>
      </c>
    </row>
    <row r="98" spans="39:94" ht="12.75" customHeight="1" hidden="1">
      <c r="AM98" s="207"/>
      <c r="AN98" s="29">
        <v>96</v>
      </c>
      <c r="AO98" s="30" t="s">
        <v>130</v>
      </c>
      <c r="AP98" s="98">
        <v>7</v>
      </c>
      <c r="AQ98" s="98">
        <v>3</v>
      </c>
      <c r="AR98" s="98">
        <v>3</v>
      </c>
      <c r="AS98" s="98">
        <v>7</v>
      </c>
      <c r="AT98" s="32" t="s">
        <v>391</v>
      </c>
      <c r="AU98" s="99">
        <v>50000</v>
      </c>
      <c r="AV98" s="99" t="s">
        <v>392</v>
      </c>
      <c r="AW98" s="99" t="s">
        <v>27</v>
      </c>
      <c r="AX98" s="99">
        <v>2</v>
      </c>
      <c r="AY98" s="100"/>
      <c r="AZ98" s="205"/>
      <c r="BB98" s="9"/>
      <c r="BC98" s="9"/>
      <c r="BD98" s="205"/>
      <c r="BE98" s="9"/>
      <c r="BF98" s="206"/>
      <c r="BG98" s="9"/>
      <c r="BH98" s="205"/>
      <c r="CH98" s="29">
        <v>96</v>
      </c>
      <c r="CI98" s="30" t="s">
        <v>154</v>
      </c>
      <c r="CJ98" s="98">
        <v>7</v>
      </c>
      <c r="CK98" s="98">
        <v>3</v>
      </c>
      <c r="CL98" s="98">
        <v>3</v>
      </c>
      <c r="CM98" s="98">
        <v>7</v>
      </c>
      <c r="CN98" s="32" t="s">
        <v>403</v>
      </c>
      <c r="CO98" s="99">
        <v>80000</v>
      </c>
      <c r="CP98" s="100"/>
    </row>
    <row r="99" spans="39:94" ht="12.75" customHeight="1" hidden="1">
      <c r="AM99" s="207"/>
      <c r="AN99" s="29">
        <v>97</v>
      </c>
      <c r="AO99" s="30" t="s">
        <v>181</v>
      </c>
      <c r="AP99" s="98">
        <v>7</v>
      </c>
      <c r="AQ99" s="98">
        <v>3</v>
      </c>
      <c r="AR99" s="98">
        <v>3</v>
      </c>
      <c r="AS99" s="98">
        <v>7</v>
      </c>
      <c r="AT99" s="32" t="s">
        <v>631</v>
      </c>
      <c r="AU99" s="99">
        <v>70000</v>
      </c>
      <c r="AV99" s="99" t="s">
        <v>632</v>
      </c>
      <c r="AW99" s="99" t="s">
        <v>58</v>
      </c>
      <c r="AX99" s="99">
        <v>2</v>
      </c>
      <c r="AY99" s="100"/>
      <c r="AZ99" s="205"/>
      <c r="BB99" s="9"/>
      <c r="BC99" s="9"/>
      <c r="BD99" s="205"/>
      <c r="BE99" s="9"/>
      <c r="BF99" s="206"/>
      <c r="BG99" s="9"/>
      <c r="BH99" s="205"/>
      <c r="CH99" s="29">
        <v>97</v>
      </c>
      <c r="CI99" s="30" t="s">
        <v>204</v>
      </c>
      <c r="CJ99" s="98">
        <v>7</v>
      </c>
      <c r="CK99" s="98">
        <v>3</v>
      </c>
      <c r="CL99" s="98">
        <v>3</v>
      </c>
      <c r="CM99" s="98">
        <v>7</v>
      </c>
      <c r="CN99" s="32" t="s">
        <v>633</v>
      </c>
      <c r="CO99" s="99">
        <v>100000</v>
      </c>
      <c r="CP99" s="100"/>
    </row>
    <row r="100" spans="40:94" ht="12.75" customHeight="1" hidden="1">
      <c r="AN100" s="29">
        <v>98</v>
      </c>
      <c r="AO100" s="30" t="s">
        <v>228</v>
      </c>
      <c r="AP100" s="98">
        <v>7</v>
      </c>
      <c r="AQ100" s="98">
        <v>3</v>
      </c>
      <c r="AR100" s="98">
        <v>3</v>
      </c>
      <c r="AS100" s="98">
        <v>8</v>
      </c>
      <c r="AT100" s="32" t="s">
        <v>634</v>
      </c>
      <c r="AU100" s="99">
        <v>90000</v>
      </c>
      <c r="AV100" s="99" t="s">
        <v>208</v>
      </c>
      <c r="AW100" s="99" t="s">
        <v>161</v>
      </c>
      <c r="AX100" s="99">
        <v>2</v>
      </c>
      <c r="AY100" s="100"/>
      <c r="AZ100" s="205"/>
      <c r="BB100" s="9"/>
      <c r="BC100" s="9"/>
      <c r="BD100" s="205"/>
      <c r="BE100" s="9"/>
      <c r="BF100" s="206"/>
      <c r="BG100" s="9"/>
      <c r="BH100" s="205"/>
      <c r="CH100" s="29">
        <v>98</v>
      </c>
      <c r="CI100" s="30" t="s">
        <v>248</v>
      </c>
      <c r="CJ100" s="98">
        <v>7</v>
      </c>
      <c r="CK100" s="98">
        <v>3</v>
      </c>
      <c r="CL100" s="98">
        <v>3</v>
      </c>
      <c r="CM100" s="98">
        <v>8</v>
      </c>
      <c r="CN100" s="32" t="s">
        <v>635</v>
      </c>
      <c r="CO100" s="99">
        <v>120000</v>
      </c>
      <c r="CP100" s="100"/>
    </row>
    <row r="101" spans="40:94" ht="12.75" customHeight="1" hidden="1">
      <c r="AN101" s="29">
        <v>99</v>
      </c>
      <c r="AO101" s="30" t="s">
        <v>266</v>
      </c>
      <c r="AP101" s="98">
        <v>4</v>
      </c>
      <c r="AQ101" s="98">
        <v>5</v>
      </c>
      <c r="AR101" s="98">
        <v>1</v>
      </c>
      <c r="AS101" s="98">
        <v>9</v>
      </c>
      <c r="AT101" s="32" t="s">
        <v>409</v>
      </c>
      <c r="AU101" s="99">
        <v>110000</v>
      </c>
      <c r="AV101" s="99" t="s">
        <v>284</v>
      </c>
      <c r="AW101" s="99" t="s">
        <v>285</v>
      </c>
      <c r="AX101" s="99">
        <v>1</v>
      </c>
      <c r="AY101" s="100"/>
      <c r="AZ101" s="205"/>
      <c r="BB101" s="9"/>
      <c r="BC101" s="9"/>
      <c r="BD101" s="205"/>
      <c r="BE101" s="9"/>
      <c r="BF101" s="206"/>
      <c r="BG101" s="9"/>
      <c r="BH101" s="205"/>
      <c r="CH101" s="29">
        <v>99</v>
      </c>
      <c r="CI101" s="30" t="s">
        <v>279</v>
      </c>
      <c r="CJ101" s="98">
        <v>4</v>
      </c>
      <c r="CK101" s="98">
        <v>5</v>
      </c>
      <c r="CL101" s="98">
        <v>1</v>
      </c>
      <c r="CM101" s="98">
        <v>9</v>
      </c>
      <c r="CN101" s="32" t="s">
        <v>409</v>
      </c>
      <c r="CO101" s="99">
        <v>140000</v>
      </c>
      <c r="CP101" s="100"/>
    </row>
    <row r="102" spans="40:94" ht="12.75" customHeight="1" hidden="1">
      <c r="AN102" s="29">
        <v>100</v>
      </c>
      <c r="AO102" s="53" t="s">
        <v>78</v>
      </c>
      <c r="AP102" s="96">
        <v>6</v>
      </c>
      <c r="AQ102" s="96">
        <v>3</v>
      </c>
      <c r="AR102" s="96">
        <v>3</v>
      </c>
      <c r="AS102" s="96">
        <v>7</v>
      </c>
      <c r="AT102" s="55"/>
      <c r="AU102" s="97">
        <v>40000</v>
      </c>
      <c r="AV102" s="97" t="s">
        <v>26</v>
      </c>
      <c r="AW102" s="97" t="s">
        <v>27</v>
      </c>
      <c r="AX102" s="97">
        <v>16</v>
      </c>
      <c r="AY102" s="209" t="s">
        <v>50</v>
      </c>
      <c r="AZ102" s="205"/>
      <c r="BB102" s="9"/>
      <c r="BC102" s="9"/>
      <c r="BD102" s="205"/>
      <c r="BE102" s="9"/>
      <c r="BF102" s="206"/>
      <c r="BG102" s="9"/>
      <c r="BH102" s="205"/>
      <c r="CH102" s="29">
        <v>100</v>
      </c>
      <c r="CI102" s="53" t="s">
        <v>103</v>
      </c>
      <c r="CJ102" s="96">
        <v>6</v>
      </c>
      <c r="CK102" s="96">
        <v>3</v>
      </c>
      <c r="CL102" s="96">
        <v>3</v>
      </c>
      <c r="CM102" s="96">
        <v>7</v>
      </c>
      <c r="CN102" s="55" t="s">
        <v>268</v>
      </c>
      <c r="CO102" s="97">
        <v>70000</v>
      </c>
      <c r="CP102" s="209" t="s">
        <v>50</v>
      </c>
    </row>
    <row r="103" spans="40:94" ht="12.75" customHeight="1" hidden="1">
      <c r="AN103" s="29">
        <v>101</v>
      </c>
      <c r="AO103" s="86" t="s">
        <v>50</v>
      </c>
      <c r="AP103" s="169">
        <v>6</v>
      </c>
      <c r="AQ103" s="169">
        <v>4</v>
      </c>
      <c r="AR103" s="169">
        <v>4</v>
      </c>
      <c r="AS103" s="169">
        <v>8</v>
      </c>
      <c r="AT103" s="88" t="s">
        <v>636</v>
      </c>
      <c r="AU103" s="170">
        <v>110000</v>
      </c>
      <c r="AV103" s="170" t="s">
        <v>626</v>
      </c>
      <c r="AW103" s="170" t="s">
        <v>627</v>
      </c>
      <c r="AX103" s="99">
        <v>6</v>
      </c>
      <c r="AY103" s="209"/>
      <c r="AZ103" s="205"/>
      <c r="BB103" s="9"/>
      <c r="BC103" s="9"/>
      <c r="BD103" s="205"/>
      <c r="BE103" s="9"/>
      <c r="BF103" s="206"/>
      <c r="BG103" s="9"/>
      <c r="BH103" s="205"/>
      <c r="CH103" s="29">
        <v>101</v>
      </c>
      <c r="CI103" s="86" t="s">
        <v>155</v>
      </c>
      <c r="CJ103" s="169">
        <v>6</v>
      </c>
      <c r="CK103" s="169">
        <v>4</v>
      </c>
      <c r="CL103" s="169">
        <v>4</v>
      </c>
      <c r="CM103" s="169">
        <v>8</v>
      </c>
      <c r="CN103" s="88" t="s">
        <v>637</v>
      </c>
      <c r="CO103" s="170">
        <v>140000</v>
      </c>
      <c r="CP103" s="209"/>
    </row>
    <row r="104" spans="40:94" ht="12.75" customHeight="1" hidden="1">
      <c r="AN104" s="29">
        <v>102</v>
      </c>
      <c r="AO104" s="53" t="s">
        <v>79</v>
      </c>
      <c r="AP104" s="54">
        <v>7</v>
      </c>
      <c r="AQ104" s="54">
        <v>3</v>
      </c>
      <c r="AR104" s="54">
        <v>4</v>
      </c>
      <c r="AS104" s="54">
        <v>7</v>
      </c>
      <c r="AT104" s="55"/>
      <c r="AU104" s="56">
        <v>70000</v>
      </c>
      <c r="AV104" s="56" t="s">
        <v>108</v>
      </c>
      <c r="AW104" s="56" t="s">
        <v>109</v>
      </c>
      <c r="AX104" s="56">
        <v>16</v>
      </c>
      <c r="AY104" s="57" t="s">
        <v>51</v>
      </c>
      <c r="AZ104" s="205"/>
      <c r="BB104" s="9"/>
      <c r="BC104" s="9"/>
      <c r="BD104" s="205"/>
      <c r="BE104" s="9"/>
      <c r="BF104" s="206"/>
      <c r="BG104" s="9"/>
      <c r="BH104" s="205"/>
      <c r="CH104" s="29">
        <v>102</v>
      </c>
      <c r="CI104" s="53" t="s">
        <v>104</v>
      </c>
      <c r="CJ104" s="54">
        <v>7</v>
      </c>
      <c r="CK104" s="54">
        <v>3</v>
      </c>
      <c r="CL104" s="54">
        <v>4</v>
      </c>
      <c r="CM104" s="54">
        <v>7</v>
      </c>
      <c r="CN104" s="55" t="s">
        <v>268</v>
      </c>
      <c r="CO104" s="56">
        <v>100000</v>
      </c>
      <c r="CP104" s="57" t="s">
        <v>51</v>
      </c>
    </row>
    <row r="105" spans="40:94" ht="12.75" customHeight="1" hidden="1">
      <c r="AN105" s="29">
        <v>103</v>
      </c>
      <c r="AO105" s="30" t="s">
        <v>131</v>
      </c>
      <c r="AP105" s="31">
        <v>8</v>
      </c>
      <c r="AQ105" s="31">
        <v>2</v>
      </c>
      <c r="AR105" s="31">
        <v>4</v>
      </c>
      <c r="AS105" s="31">
        <v>7</v>
      </c>
      <c r="AT105" s="32" t="s">
        <v>638</v>
      </c>
      <c r="AU105" s="33">
        <v>90000</v>
      </c>
      <c r="AV105" s="33" t="s">
        <v>108</v>
      </c>
      <c r="AW105" s="33" t="s">
        <v>109</v>
      </c>
      <c r="AX105" s="33">
        <v>4</v>
      </c>
      <c r="AY105" s="57"/>
      <c r="AZ105" s="205"/>
      <c r="BB105" s="9"/>
      <c r="BC105" s="9"/>
      <c r="BD105" s="205"/>
      <c r="BE105" s="9"/>
      <c r="BF105" s="206"/>
      <c r="BG105" s="9"/>
      <c r="BH105" s="205"/>
      <c r="CH105" s="29">
        <v>103</v>
      </c>
      <c r="CI105" s="30" t="s">
        <v>156</v>
      </c>
      <c r="CJ105" s="31">
        <v>8</v>
      </c>
      <c r="CK105" s="31">
        <v>2</v>
      </c>
      <c r="CL105" s="31">
        <v>4</v>
      </c>
      <c r="CM105" s="31">
        <v>7</v>
      </c>
      <c r="CN105" s="32" t="s">
        <v>639</v>
      </c>
      <c r="CO105" s="33">
        <v>120000</v>
      </c>
      <c r="CP105" s="57"/>
    </row>
    <row r="106" spans="40:94" ht="12.75" customHeight="1" hidden="1">
      <c r="AN106" s="29">
        <v>104</v>
      </c>
      <c r="AO106" s="30" t="s">
        <v>183</v>
      </c>
      <c r="AP106" s="31">
        <v>7</v>
      </c>
      <c r="AQ106" s="31">
        <v>3</v>
      </c>
      <c r="AR106" s="31">
        <v>4</v>
      </c>
      <c r="AS106" s="31">
        <v>7</v>
      </c>
      <c r="AT106" s="32" t="s">
        <v>466</v>
      </c>
      <c r="AU106" s="33">
        <v>90000</v>
      </c>
      <c r="AV106" s="33" t="s">
        <v>285</v>
      </c>
      <c r="AW106" s="33" t="s">
        <v>349</v>
      </c>
      <c r="AX106" s="33">
        <v>2</v>
      </c>
      <c r="AY106" s="57"/>
      <c r="AZ106" s="205"/>
      <c r="BB106" s="9"/>
      <c r="BC106" s="9"/>
      <c r="BD106" s="205"/>
      <c r="BE106" s="9"/>
      <c r="BF106" s="206"/>
      <c r="BG106" s="9"/>
      <c r="BH106" s="205"/>
      <c r="CH106" s="29">
        <v>104</v>
      </c>
      <c r="CI106" s="30" t="s">
        <v>205</v>
      </c>
      <c r="CJ106" s="31">
        <v>7</v>
      </c>
      <c r="CK106" s="31">
        <v>3</v>
      </c>
      <c r="CL106" s="31">
        <v>4</v>
      </c>
      <c r="CM106" s="31">
        <v>7</v>
      </c>
      <c r="CN106" s="32" t="s">
        <v>467</v>
      </c>
      <c r="CO106" s="33">
        <v>120000</v>
      </c>
      <c r="CP106" s="57"/>
    </row>
    <row r="107" spans="40:94" ht="12.75" customHeight="1" hidden="1">
      <c r="AN107" s="29">
        <v>105</v>
      </c>
      <c r="AO107" s="30" t="s">
        <v>230</v>
      </c>
      <c r="AP107" s="31">
        <v>8</v>
      </c>
      <c r="AQ107" s="31">
        <v>3</v>
      </c>
      <c r="AR107" s="31">
        <v>4</v>
      </c>
      <c r="AS107" s="31">
        <v>7</v>
      </c>
      <c r="AT107" s="32" t="s">
        <v>640</v>
      </c>
      <c r="AU107" s="33">
        <v>120000</v>
      </c>
      <c r="AV107" s="33" t="s">
        <v>108</v>
      </c>
      <c r="AW107" s="33" t="s">
        <v>109</v>
      </c>
      <c r="AX107" s="33">
        <v>2</v>
      </c>
      <c r="AY107" s="57"/>
      <c r="AZ107" s="205"/>
      <c r="BB107" s="9"/>
      <c r="BC107" s="9"/>
      <c r="BD107" s="205"/>
      <c r="BE107" s="9"/>
      <c r="BF107" s="206"/>
      <c r="BG107" s="9"/>
      <c r="BH107" s="205"/>
      <c r="CH107" s="29">
        <v>105</v>
      </c>
      <c r="CI107" s="30" t="s">
        <v>249</v>
      </c>
      <c r="CJ107" s="31">
        <v>8</v>
      </c>
      <c r="CK107" s="31">
        <v>3</v>
      </c>
      <c r="CL107" s="31">
        <v>4</v>
      </c>
      <c r="CM107" s="31">
        <v>7</v>
      </c>
      <c r="CN107" s="32" t="s">
        <v>641</v>
      </c>
      <c r="CO107" s="33">
        <v>150000</v>
      </c>
      <c r="CP107" s="57"/>
    </row>
    <row r="108" spans="40:94" ht="12.75" customHeight="1" hidden="1">
      <c r="AN108" s="29">
        <v>106</v>
      </c>
      <c r="AO108" s="86" t="s">
        <v>267</v>
      </c>
      <c r="AP108" s="87">
        <v>2</v>
      </c>
      <c r="AQ108" s="87">
        <v>6</v>
      </c>
      <c r="AR108" s="87">
        <v>1</v>
      </c>
      <c r="AS108" s="87">
        <v>10</v>
      </c>
      <c r="AT108" s="88" t="s">
        <v>493</v>
      </c>
      <c r="AU108" s="89">
        <v>120000</v>
      </c>
      <c r="AV108" s="89" t="s">
        <v>349</v>
      </c>
      <c r="AW108" s="89" t="s">
        <v>285</v>
      </c>
      <c r="AX108" s="89">
        <v>1</v>
      </c>
      <c r="AY108" s="57"/>
      <c r="AZ108" s="205"/>
      <c r="BB108" s="9"/>
      <c r="BC108" s="9"/>
      <c r="BD108" s="205"/>
      <c r="BE108" s="9"/>
      <c r="BF108" s="206"/>
      <c r="BG108" s="9"/>
      <c r="BH108" s="205"/>
      <c r="CH108" s="29">
        <v>106</v>
      </c>
      <c r="CI108" s="86" t="s">
        <v>280</v>
      </c>
      <c r="CJ108" s="87">
        <v>2</v>
      </c>
      <c r="CK108" s="87">
        <v>6</v>
      </c>
      <c r="CL108" s="87">
        <v>1</v>
      </c>
      <c r="CM108" s="87">
        <v>10</v>
      </c>
      <c r="CN108" s="88" t="s">
        <v>494</v>
      </c>
      <c r="CO108" s="89">
        <v>150000</v>
      </c>
      <c r="CP108" s="57"/>
    </row>
    <row r="109" spans="40:94" ht="12.75" customHeight="1" hidden="1">
      <c r="AN109" s="37">
        <v>107</v>
      </c>
      <c r="AO109" s="30" t="s">
        <v>289</v>
      </c>
      <c r="AP109" s="7">
        <v>6</v>
      </c>
      <c r="AQ109" s="7">
        <v>3</v>
      </c>
      <c r="AR109" s="7">
        <v>3</v>
      </c>
      <c r="AS109" s="7">
        <v>8</v>
      </c>
      <c r="AT109" s="8" t="s">
        <v>642</v>
      </c>
      <c r="AU109" s="9">
        <v>60000</v>
      </c>
      <c r="AX109" s="9">
        <v>1</v>
      </c>
      <c r="AY109" s="9" t="s">
        <v>33</v>
      </c>
      <c r="AZ109" s="205"/>
      <c r="BB109" s="9"/>
      <c r="BC109" s="9"/>
      <c r="BD109" s="205"/>
      <c r="BE109" s="9"/>
      <c r="BF109" s="206"/>
      <c r="BG109" s="9"/>
      <c r="BH109" s="205"/>
      <c r="CH109" s="37"/>
      <c r="CI109" s="30"/>
      <c r="CP109" s="9"/>
    </row>
    <row r="110" spans="40:94" ht="12.75" customHeight="1" hidden="1">
      <c r="AN110" s="37">
        <v>108</v>
      </c>
      <c r="AO110" s="30" t="s">
        <v>169</v>
      </c>
      <c r="AP110" s="7">
        <v>6</v>
      </c>
      <c r="AQ110" s="7">
        <v>5</v>
      </c>
      <c r="AR110" s="7">
        <v>2</v>
      </c>
      <c r="AS110" s="7">
        <v>9</v>
      </c>
      <c r="AT110" s="8" t="s">
        <v>643</v>
      </c>
      <c r="AU110" s="9">
        <v>290000</v>
      </c>
      <c r="AX110" s="9">
        <v>1</v>
      </c>
      <c r="AY110" s="9" t="s">
        <v>644</v>
      </c>
      <c r="AZ110" s="205"/>
      <c r="BB110" s="9"/>
      <c r="BC110" s="9"/>
      <c r="BD110" s="205"/>
      <c r="BE110" s="9"/>
      <c r="BF110" s="206"/>
      <c r="BG110" s="9"/>
      <c r="BH110" s="205"/>
      <c r="CH110" s="37"/>
      <c r="CI110" s="30"/>
      <c r="CP110" s="9"/>
    </row>
    <row r="111" spans="40:94" ht="12.75" customHeight="1" hidden="1">
      <c r="AN111" s="37">
        <v>109</v>
      </c>
      <c r="AO111" s="30" t="s">
        <v>209</v>
      </c>
      <c r="AP111" s="210">
        <v>5</v>
      </c>
      <c r="AQ111" s="210">
        <v>5</v>
      </c>
      <c r="AR111" s="210">
        <v>2</v>
      </c>
      <c r="AS111" s="210">
        <v>9</v>
      </c>
      <c r="AT111" s="211" t="s">
        <v>645</v>
      </c>
      <c r="AU111" s="212">
        <v>145000</v>
      </c>
      <c r="AX111" s="9">
        <v>1</v>
      </c>
      <c r="AY111" s="9" t="s">
        <v>646</v>
      </c>
      <c r="AZ111" s="205"/>
      <c r="BB111" s="9"/>
      <c r="BC111" s="9"/>
      <c r="BD111" s="205"/>
      <c r="BE111" s="9"/>
      <c r="BF111" s="206"/>
      <c r="BG111" s="9"/>
      <c r="BH111" s="205"/>
      <c r="CH111" s="37"/>
      <c r="CI111" s="30"/>
      <c r="CJ111" s="210"/>
      <c r="CK111" s="210"/>
      <c r="CL111" s="210"/>
      <c r="CM111" s="210"/>
      <c r="CN111" s="211"/>
      <c r="CO111" s="212"/>
      <c r="CP111" s="9"/>
    </row>
    <row r="112" spans="40:94" ht="12.75" customHeight="1" hidden="1">
      <c r="AN112" s="37">
        <v>110</v>
      </c>
      <c r="AO112" s="30" t="s">
        <v>251</v>
      </c>
      <c r="AP112" s="210">
        <v>6</v>
      </c>
      <c r="AQ112" s="210">
        <v>2</v>
      </c>
      <c r="AR112" s="210">
        <v>4</v>
      </c>
      <c r="AS112" s="210">
        <v>7</v>
      </c>
      <c r="AT112" s="211" t="s">
        <v>476</v>
      </c>
      <c r="AU112" s="212">
        <v>145000</v>
      </c>
      <c r="AX112" s="9">
        <v>1</v>
      </c>
      <c r="AY112" s="9" t="s">
        <v>646</v>
      </c>
      <c r="AZ112" s="205"/>
      <c r="BB112" s="9"/>
      <c r="BC112" s="9"/>
      <c r="BD112" s="205"/>
      <c r="BE112" s="9"/>
      <c r="BF112" s="206"/>
      <c r="BG112" s="9"/>
      <c r="BH112" s="205"/>
      <c r="CH112" s="37"/>
      <c r="CI112" s="30"/>
      <c r="CJ112" s="210"/>
      <c r="CK112" s="210"/>
      <c r="CL112" s="210"/>
      <c r="CM112" s="210"/>
      <c r="CN112" s="211"/>
      <c r="CO112" s="212"/>
      <c r="CP112" s="9"/>
    </row>
    <row r="113" spans="40:94" ht="12.75" customHeight="1" hidden="1">
      <c r="AN113" s="37">
        <v>111</v>
      </c>
      <c r="AO113" s="93" t="s">
        <v>296</v>
      </c>
      <c r="AP113" s="210">
        <v>6</v>
      </c>
      <c r="AQ113" s="210">
        <v>2</v>
      </c>
      <c r="AR113" s="210">
        <v>3</v>
      </c>
      <c r="AS113" s="210">
        <v>7</v>
      </c>
      <c r="AT113" s="211" t="s">
        <v>647</v>
      </c>
      <c r="AU113" s="212">
        <v>60000</v>
      </c>
      <c r="AX113" s="9">
        <v>1</v>
      </c>
      <c r="AY113" s="9" t="s">
        <v>648</v>
      </c>
      <c r="AZ113" s="205"/>
      <c r="BB113" s="9"/>
      <c r="BC113" s="9"/>
      <c r="BD113" s="205"/>
      <c r="BE113" s="9"/>
      <c r="BF113" s="206"/>
      <c r="BG113" s="9"/>
      <c r="BH113" s="205"/>
      <c r="CH113" s="37"/>
      <c r="CI113" s="93"/>
      <c r="CJ113" s="210"/>
      <c r="CK113" s="210"/>
      <c r="CL113" s="210"/>
      <c r="CM113" s="210"/>
      <c r="CN113" s="211"/>
      <c r="CO113" s="212"/>
      <c r="CP113" s="9"/>
    </row>
    <row r="114" spans="40:94" ht="12.75" customHeight="1" hidden="1">
      <c r="AN114" s="37">
        <v>112</v>
      </c>
      <c r="AO114" s="30" t="s">
        <v>308</v>
      </c>
      <c r="AP114" s="210">
        <v>4</v>
      </c>
      <c r="AQ114" s="210">
        <v>3</v>
      </c>
      <c r="AR114" s="210">
        <v>2</v>
      </c>
      <c r="AS114" s="210">
        <v>9</v>
      </c>
      <c r="AT114" s="211" t="s">
        <v>649</v>
      </c>
      <c r="AU114" s="212">
        <v>60000</v>
      </c>
      <c r="AX114" s="9">
        <v>1</v>
      </c>
      <c r="AY114" s="9" t="s">
        <v>650</v>
      </c>
      <c r="AZ114" s="205"/>
      <c r="BB114" s="9"/>
      <c r="BC114" s="9"/>
      <c r="BD114" s="205"/>
      <c r="BE114" s="9"/>
      <c r="BF114" s="206"/>
      <c r="BG114" s="9"/>
      <c r="BH114" s="205"/>
      <c r="CH114" s="37"/>
      <c r="CI114" s="30"/>
      <c r="CJ114" s="210"/>
      <c r="CK114" s="210"/>
      <c r="CL114" s="210"/>
      <c r="CM114" s="210"/>
      <c r="CN114" s="211"/>
      <c r="CO114" s="212"/>
      <c r="CP114" s="9"/>
    </row>
    <row r="115" spans="40:94" ht="12.75" customHeight="1" hidden="1">
      <c r="AN115" s="37">
        <v>113</v>
      </c>
      <c r="AO115" s="30" t="s">
        <v>182</v>
      </c>
      <c r="AP115" s="210">
        <v>6</v>
      </c>
      <c r="AQ115" s="210">
        <v>5</v>
      </c>
      <c r="AR115" s="210">
        <v>4</v>
      </c>
      <c r="AS115" s="210">
        <v>9</v>
      </c>
      <c r="AT115" s="211" t="s">
        <v>651</v>
      </c>
      <c r="AU115" s="212">
        <v>390000</v>
      </c>
      <c r="AX115" s="9">
        <v>1</v>
      </c>
      <c r="AY115" s="9" t="s">
        <v>652</v>
      </c>
      <c r="AZ115" s="205"/>
      <c r="BB115" s="9"/>
      <c r="BC115" s="9"/>
      <c r="BD115" s="205"/>
      <c r="BE115" s="9"/>
      <c r="BF115" s="206"/>
      <c r="BG115" s="9"/>
      <c r="BH115" s="205"/>
      <c r="CH115" s="37"/>
      <c r="CI115" s="30"/>
      <c r="CJ115" s="210"/>
      <c r="CK115" s="210"/>
      <c r="CL115" s="210"/>
      <c r="CM115" s="210"/>
      <c r="CN115" s="211"/>
      <c r="CO115" s="212"/>
      <c r="CP115" s="9"/>
    </row>
    <row r="116" spans="40:94" ht="12.75" customHeight="1" hidden="1">
      <c r="AN116" s="37">
        <v>114</v>
      </c>
      <c r="AO116" s="30" t="s">
        <v>229</v>
      </c>
      <c r="AP116" s="210">
        <v>6</v>
      </c>
      <c r="AQ116" s="210">
        <v>3</v>
      </c>
      <c r="AR116" s="210">
        <v>3</v>
      </c>
      <c r="AS116" s="210">
        <v>8</v>
      </c>
      <c r="AT116" s="211" t="s">
        <v>653</v>
      </c>
      <c r="AU116" s="212">
        <v>120000</v>
      </c>
      <c r="AX116" s="9">
        <v>1</v>
      </c>
      <c r="AY116" s="9" t="s">
        <v>654</v>
      </c>
      <c r="AZ116" s="205"/>
      <c r="BB116" s="9"/>
      <c r="BC116" s="9"/>
      <c r="BD116" s="205"/>
      <c r="BE116" s="9"/>
      <c r="BF116" s="206"/>
      <c r="BG116" s="9"/>
      <c r="BH116" s="205"/>
      <c r="CH116" s="37"/>
      <c r="CI116" s="30"/>
      <c r="CJ116" s="210"/>
      <c r="CK116" s="210"/>
      <c r="CL116" s="210"/>
      <c r="CM116" s="210"/>
      <c r="CN116" s="211"/>
      <c r="CO116" s="212"/>
      <c r="CP116" s="9"/>
    </row>
    <row r="117" spans="40:94" ht="12.75" customHeight="1" hidden="1">
      <c r="AN117" s="37">
        <v>115</v>
      </c>
      <c r="AO117" s="30" t="s">
        <v>216</v>
      </c>
      <c r="AP117" s="210">
        <v>2</v>
      </c>
      <c r="AQ117" s="210">
        <v>7</v>
      </c>
      <c r="AR117" s="210">
        <v>1</v>
      </c>
      <c r="AS117" s="210">
        <v>10</v>
      </c>
      <c r="AT117" s="211" t="s">
        <v>655</v>
      </c>
      <c r="AU117" s="212">
        <v>300000</v>
      </c>
      <c r="AX117" s="9">
        <v>1</v>
      </c>
      <c r="AY117" s="9" t="s">
        <v>36</v>
      </c>
      <c r="AZ117" s="205"/>
      <c r="BB117" s="9"/>
      <c r="BC117" s="9"/>
      <c r="BD117" s="205"/>
      <c r="BE117" s="9"/>
      <c r="BF117" s="206"/>
      <c r="BG117" s="9"/>
      <c r="BH117" s="205"/>
      <c r="CH117" s="37"/>
      <c r="CI117" s="30"/>
      <c r="CJ117" s="210"/>
      <c r="CK117" s="210"/>
      <c r="CL117" s="210"/>
      <c r="CM117" s="210"/>
      <c r="CN117" s="211"/>
      <c r="CO117" s="212"/>
      <c r="CP117" s="9"/>
    </row>
    <row r="118" spans="40:94" ht="12.75" customHeight="1" hidden="1">
      <c r="AN118" s="37">
        <v>116</v>
      </c>
      <c r="AO118" s="30" t="s">
        <v>256</v>
      </c>
      <c r="AP118" s="210">
        <v>7</v>
      </c>
      <c r="AQ118" s="210">
        <v>3</v>
      </c>
      <c r="AR118" s="210">
        <v>4</v>
      </c>
      <c r="AS118" s="210">
        <v>7</v>
      </c>
      <c r="AT118" s="211" t="s">
        <v>656</v>
      </c>
      <c r="AU118" s="212">
        <v>150000</v>
      </c>
      <c r="AX118" s="9">
        <v>1</v>
      </c>
      <c r="AY118" s="9" t="s">
        <v>657</v>
      </c>
      <c r="AZ118" s="205"/>
      <c r="BB118" s="9"/>
      <c r="BC118" s="9"/>
      <c r="BD118" s="205"/>
      <c r="BE118" s="9"/>
      <c r="BF118" s="206"/>
      <c r="BG118" s="9"/>
      <c r="BH118" s="205"/>
      <c r="CH118" s="37"/>
      <c r="CI118" s="30"/>
      <c r="CJ118" s="210"/>
      <c r="CK118" s="210"/>
      <c r="CL118" s="210"/>
      <c r="CM118" s="210"/>
      <c r="CN118" s="211"/>
      <c r="CO118" s="212"/>
      <c r="CP118" s="9"/>
    </row>
    <row r="119" spans="40:94" ht="12.75" customHeight="1" hidden="1">
      <c r="AN119" s="37">
        <v>117</v>
      </c>
      <c r="AO119" s="30" t="s">
        <v>288</v>
      </c>
      <c r="AP119" s="210">
        <v>8</v>
      </c>
      <c r="AQ119" s="210">
        <v>3</v>
      </c>
      <c r="AR119" s="210">
        <v>4</v>
      </c>
      <c r="AS119" s="210">
        <v>7</v>
      </c>
      <c r="AT119" s="211" t="s">
        <v>658</v>
      </c>
      <c r="AU119" s="212">
        <v>200000</v>
      </c>
      <c r="AX119" s="9">
        <v>1</v>
      </c>
      <c r="AY119" s="9" t="s">
        <v>659</v>
      </c>
      <c r="AZ119" s="205"/>
      <c r="BB119" s="9"/>
      <c r="BC119" s="9"/>
      <c r="BD119" s="205"/>
      <c r="BE119" s="9"/>
      <c r="BF119" s="206"/>
      <c r="BG119" s="9"/>
      <c r="BH119" s="205"/>
      <c r="CH119" s="37"/>
      <c r="CI119" s="30"/>
      <c r="CJ119" s="210"/>
      <c r="CK119" s="210"/>
      <c r="CL119" s="210"/>
      <c r="CM119" s="210"/>
      <c r="CN119" s="211"/>
      <c r="CO119" s="212"/>
      <c r="CP119" s="9"/>
    </row>
    <row r="120" spans="40:94" ht="12.75" customHeight="1" hidden="1">
      <c r="AN120" s="37">
        <v>118</v>
      </c>
      <c r="AO120" s="30" t="s">
        <v>298</v>
      </c>
      <c r="AP120" s="210">
        <v>4</v>
      </c>
      <c r="AQ120" s="210">
        <v>7</v>
      </c>
      <c r="AR120" s="210">
        <v>3</v>
      </c>
      <c r="AS120" s="210">
        <v>7</v>
      </c>
      <c r="AT120" s="211" t="s">
        <v>660</v>
      </c>
      <c r="AU120" s="212">
        <v>100000</v>
      </c>
      <c r="AX120" s="9">
        <v>1</v>
      </c>
      <c r="AY120" s="9" t="s">
        <v>661</v>
      </c>
      <c r="AZ120" s="205"/>
      <c r="BB120" s="9"/>
      <c r="BC120" s="9"/>
      <c r="BD120" s="205"/>
      <c r="BE120" s="9"/>
      <c r="BF120" s="206"/>
      <c r="BG120" s="9"/>
      <c r="BH120" s="205"/>
      <c r="CH120" s="37"/>
      <c r="CI120" s="30"/>
      <c r="CJ120" s="210"/>
      <c r="CK120" s="210"/>
      <c r="CL120" s="210"/>
      <c r="CM120" s="210"/>
      <c r="CN120" s="211"/>
      <c r="CO120" s="212"/>
      <c r="CP120" s="9"/>
    </row>
    <row r="121" spans="40:94" ht="12.75" customHeight="1" hidden="1">
      <c r="AN121" s="37">
        <v>119</v>
      </c>
      <c r="AO121" s="30" t="s">
        <v>320</v>
      </c>
      <c r="AP121" s="210">
        <v>5</v>
      </c>
      <c r="AQ121" s="210">
        <v>3</v>
      </c>
      <c r="AR121" s="210">
        <v>2</v>
      </c>
      <c r="AS121" s="210">
        <v>8</v>
      </c>
      <c r="AT121" s="211" t="s">
        <v>662</v>
      </c>
      <c r="AU121" s="212">
        <v>130000</v>
      </c>
      <c r="AX121" s="9">
        <v>1</v>
      </c>
      <c r="AY121" s="9" t="s">
        <v>33</v>
      </c>
      <c r="AZ121" s="205"/>
      <c r="BB121" s="9"/>
      <c r="BC121" s="9"/>
      <c r="BD121" s="205"/>
      <c r="BE121" s="9"/>
      <c r="BF121" s="206"/>
      <c r="BG121" s="9"/>
      <c r="BH121" s="205"/>
      <c r="CH121" s="37"/>
      <c r="CI121" s="30"/>
      <c r="CJ121" s="210"/>
      <c r="CK121" s="210"/>
      <c r="CL121" s="210"/>
      <c r="CM121" s="210"/>
      <c r="CN121" s="211"/>
      <c r="CO121" s="212"/>
      <c r="CP121" s="9"/>
    </row>
    <row r="122" spans="40:94" ht="12.75" customHeight="1" hidden="1">
      <c r="AN122" s="37">
        <v>120</v>
      </c>
      <c r="AO122" s="30" t="s">
        <v>322</v>
      </c>
      <c r="AP122" s="210">
        <v>4</v>
      </c>
      <c r="AQ122" s="210">
        <v>7</v>
      </c>
      <c r="AR122" s="210">
        <v>3</v>
      </c>
      <c r="AS122" s="210">
        <v>7</v>
      </c>
      <c r="AT122" s="211" t="s">
        <v>663</v>
      </c>
      <c r="AU122" s="212">
        <v>80000</v>
      </c>
      <c r="AX122" s="9">
        <v>1</v>
      </c>
      <c r="AY122" s="9" t="s">
        <v>35</v>
      </c>
      <c r="AZ122" s="205"/>
      <c r="BB122" s="9"/>
      <c r="BC122" s="9"/>
      <c r="BD122" s="205"/>
      <c r="BE122" s="9"/>
      <c r="BF122" s="206"/>
      <c r="BG122" s="9"/>
      <c r="BH122" s="205"/>
      <c r="CH122" s="37"/>
      <c r="CI122" s="30"/>
      <c r="CJ122" s="210"/>
      <c r="CK122" s="210"/>
      <c r="CL122" s="210"/>
      <c r="CM122" s="210"/>
      <c r="CN122" s="211"/>
      <c r="CO122" s="212"/>
      <c r="CP122" s="9"/>
    </row>
    <row r="123" spans="40:94" ht="12.75" customHeight="1" hidden="1">
      <c r="AN123" s="37">
        <v>121</v>
      </c>
      <c r="AO123" s="30" t="s">
        <v>312</v>
      </c>
      <c r="AP123" s="210">
        <v>7</v>
      </c>
      <c r="AQ123" s="210">
        <v>4</v>
      </c>
      <c r="AR123" s="210">
        <v>3</v>
      </c>
      <c r="AS123" s="210">
        <v>8</v>
      </c>
      <c r="AT123" s="211" t="s">
        <v>664</v>
      </c>
      <c r="AU123" s="212">
        <v>210000</v>
      </c>
      <c r="AX123" s="9">
        <v>1</v>
      </c>
      <c r="AY123" s="9" t="s">
        <v>665</v>
      </c>
      <c r="AZ123" s="205"/>
      <c r="BB123" s="9"/>
      <c r="BC123" s="9"/>
      <c r="BD123" s="205"/>
      <c r="BE123" s="9"/>
      <c r="BF123" s="206"/>
      <c r="BG123" s="9"/>
      <c r="BH123" s="205"/>
      <c r="CH123" s="37"/>
      <c r="CI123" s="30"/>
      <c r="CJ123" s="210"/>
      <c r="CK123" s="210"/>
      <c r="CL123" s="210"/>
      <c r="CM123" s="210"/>
      <c r="CN123" s="211"/>
      <c r="CO123" s="212"/>
      <c r="CP123" s="9"/>
    </row>
    <row r="124" spans="40:94" ht="12.75" customHeight="1" hidden="1">
      <c r="AN124" s="37">
        <v>122</v>
      </c>
      <c r="AO124" s="30" t="s">
        <v>252</v>
      </c>
      <c r="AP124" s="210">
        <v>6</v>
      </c>
      <c r="AQ124" s="210">
        <v>6</v>
      </c>
      <c r="AR124" s="210">
        <v>2</v>
      </c>
      <c r="AS124" s="210">
        <v>8</v>
      </c>
      <c r="AT124" s="211" t="s">
        <v>666</v>
      </c>
      <c r="AU124" s="212">
        <v>310000</v>
      </c>
      <c r="AX124" s="9">
        <v>1</v>
      </c>
      <c r="AY124" s="9" t="s">
        <v>667</v>
      </c>
      <c r="AZ124" s="205"/>
      <c r="BB124" s="9"/>
      <c r="BC124" s="9"/>
      <c r="BD124" s="205"/>
      <c r="BE124" s="9"/>
      <c r="BF124" s="206"/>
      <c r="BG124" s="9"/>
      <c r="BH124" s="205"/>
      <c r="CH124" s="37"/>
      <c r="CI124" s="30"/>
      <c r="CJ124" s="210"/>
      <c r="CK124" s="210"/>
      <c r="CL124" s="210"/>
      <c r="CM124" s="210"/>
      <c r="CN124" s="211"/>
      <c r="CO124" s="212"/>
      <c r="CP124" s="9"/>
    </row>
    <row r="125" spans="40:94" ht="12.75" customHeight="1" hidden="1">
      <c r="AN125" s="37">
        <v>123</v>
      </c>
      <c r="AO125" s="93" t="s">
        <v>292</v>
      </c>
      <c r="AP125" s="210">
        <v>7</v>
      </c>
      <c r="AQ125" s="210">
        <v>4</v>
      </c>
      <c r="AR125" s="210">
        <v>4</v>
      </c>
      <c r="AS125" s="210">
        <v>8</v>
      </c>
      <c r="AT125" s="211" t="s">
        <v>668</v>
      </c>
      <c r="AU125" s="212">
        <v>320000</v>
      </c>
      <c r="AX125" s="9">
        <v>1</v>
      </c>
      <c r="AY125" s="9" t="s">
        <v>38</v>
      </c>
      <c r="AZ125" s="205"/>
      <c r="BB125" s="9"/>
      <c r="BC125" s="9"/>
      <c r="BD125" s="205"/>
      <c r="BE125" s="9"/>
      <c r="BF125" s="206"/>
      <c r="BG125" s="9"/>
      <c r="BH125" s="205"/>
      <c r="CH125" s="37"/>
      <c r="CI125" s="93"/>
      <c r="CJ125" s="210"/>
      <c r="CK125" s="210"/>
      <c r="CL125" s="210"/>
      <c r="CM125" s="210"/>
      <c r="CN125" s="211"/>
      <c r="CO125" s="212"/>
      <c r="CP125" s="9"/>
    </row>
    <row r="126" spans="40:94" ht="12.75" customHeight="1" hidden="1">
      <c r="AN126" s="37">
        <v>124</v>
      </c>
      <c r="AO126" s="30" t="s">
        <v>336</v>
      </c>
      <c r="AP126" s="210">
        <v>5</v>
      </c>
      <c r="AQ126" s="210">
        <v>4</v>
      </c>
      <c r="AR126" s="210">
        <v>3</v>
      </c>
      <c r="AS126" s="210">
        <v>8</v>
      </c>
      <c r="AT126" s="211" t="s">
        <v>669</v>
      </c>
      <c r="AU126" s="212">
        <v>220000</v>
      </c>
      <c r="AX126" s="9">
        <v>1</v>
      </c>
      <c r="AY126" s="9" t="s">
        <v>33</v>
      </c>
      <c r="AZ126" s="205"/>
      <c r="BB126" s="9"/>
      <c r="BC126" s="9"/>
      <c r="BD126" s="205"/>
      <c r="BE126" s="9"/>
      <c r="BF126" s="206"/>
      <c r="BG126" s="9"/>
      <c r="BH126" s="205"/>
      <c r="CH126" s="37"/>
      <c r="CI126" s="30"/>
      <c r="CJ126" s="210"/>
      <c r="CK126" s="210"/>
      <c r="CL126" s="210"/>
      <c r="CM126" s="210"/>
      <c r="CN126" s="211"/>
      <c r="CO126" s="212"/>
      <c r="CP126" s="9"/>
    </row>
    <row r="127" spans="40:94" ht="12.75" customHeight="1" hidden="1">
      <c r="AN127" s="37">
        <v>125</v>
      </c>
      <c r="AO127" s="30" t="s">
        <v>259</v>
      </c>
      <c r="AP127" s="31">
        <v>6</v>
      </c>
      <c r="AQ127" s="31">
        <v>3</v>
      </c>
      <c r="AR127" s="31">
        <v>2</v>
      </c>
      <c r="AS127" s="31">
        <v>7</v>
      </c>
      <c r="AT127" s="32" t="s">
        <v>670</v>
      </c>
      <c r="AU127" s="33">
        <v>120000</v>
      </c>
      <c r="AX127" s="9">
        <v>1</v>
      </c>
      <c r="AY127" s="9" t="s">
        <v>671</v>
      </c>
      <c r="AZ127" s="205"/>
      <c r="BB127" s="9"/>
      <c r="BC127" s="9"/>
      <c r="BD127" s="205"/>
      <c r="BE127" s="9"/>
      <c r="BF127" s="206"/>
      <c r="BG127" s="9"/>
      <c r="BH127" s="205"/>
      <c r="CH127" s="37"/>
      <c r="CI127" s="30"/>
      <c r="CJ127" s="31"/>
      <c r="CK127" s="31"/>
      <c r="CL127" s="31"/>
      <c r="CM127" s="31"/>
      <c r="CN127" s="32"/>
      <c r="CO127" s="33"/>
      <c r="CP127" s="9"/>
    </row>
    <row r="128" spans="40:94" ht="12.75" customHeight="1" hidden="1">
      <c r="AN128" s="37">
        <v>126</v>
      </c>
      <c r="AO128" s="30" t="s">
        <v>328</v>
      </c>
      <c r="AP128" s="210">
        <v>9</v>
      </c>
      <c r="AQ128" s="210">
        <v>3</v>
      </c>
      <c r="AR128" s="210">
        <v>4</v>
      </c>
      <c r="AS128" s="210">
        <v>7</v>
      </c>
      <c r="AT128" s="32" t="s">
        <v>672</v>
      </c>
      <c r="AU128" s="212">
        <v>200000</v>
      </c>
      <c r="AX128" s="9">
        <v>1</v>
      </c>
      <c r="AY128" s="9" t="s">
        <v>46</v>
      </c>
      <c r="AZ128" s="205"/>
      <c r="BB128" s="9"/>
      <c r="BC128" s="9"/>
      <c r="BD128" s="205"/>
      <c r="BE128" s="9"/>
      <c r="BF128" s="206"/>
      <c r="BG128" s="9"/>
      <c r="BH128" s="205"/>
      <c r="CH128" s="37"/>
      <c r="CI128" s="30"/>
      <c r="CJ128" s="210"/>
      <c r="CK128" s="210"/>
      <c r="CL128" s="210"/>
      <c r="CM128" s="210"/>
      <c r="CN128" s="32"/>
      <c r="CO128" s="212"/>
      <c r="CP128" s="9"/>
    </row>
    <row r="129" spans="40:94" ht="12.75" customHeight="1" hidden="1">
      <c r="AN129" s="37">
        <v>127</v>
      </c>
      <c r="AO129" s="30" t="s">
        <v>344</v>
      </c>
      <c r="AP129" s="210">
        <v>6</v>
      </c>
      <c r="AQ129" s="210">
        <v>6</v>
      </c>
      <c r="AR129" s="210">
        <v>3</v>
      </c>
      <c r="AS129" s="210">
        <v>8</v>
      </c>
      <c r="AT129" s="211" t="s">
        <v>673</v>
      </c>
      <c r="AU129" s="212">
        <v>340000</v>
      </c>
      <c r="AX129" s="9">
        <v>1</v>
      </c>
      <c r="AY129" s="9" t="s">
        <v>46</v>
      </c>
      <c r="AZ129" s="205"/>
      <c r="BB129" s="9"/>
      <c r="BC129" s="9"/>
      <c r="BD129" s="205"/>
      <c r="BE129" s="9"/>
      <c r="BF129" s="206"/>
      <c r="BG129" s="9"/>
      <c r="BH129" s="205"/>
      <c r="CH129" s="37"/>
      <c r="CI129" s="30"/>
      <c r="CJ129" s="210"/>
      <c r="CK129" s="210"/>
      <c r="CL129" s="210"/>
      <c r="CM129" s="210"/>
      <c r="CN129" s="211"/>
      <c r="CO129" s="212"/>
      <c r="CP129" s="9"/>
    </row>
    <row r="130" spans="40:94" ht="12.75" customHeight="1" hidden="1">
      <c r="AN130" s="37">
        <v>128</v>
      </c>
      <c r="AO130" s="30" t="s">
        <v>220</v>
      </c>
      <c r="AP130" s="210">
        <v>6</v>
      </c>
      <c r="AQ130" s="210">
        <v>3</v>
      </c>
      <c r="AR130" s="210">
        <v>3</v>
      </c>
      <c r="AS130" s="210">
        <v>8</v>
      </c>
      <c r="AT130" s="32" t="s">
        <v>674</v>
      </c>
      <c r="AU130" s="212">
        <v>110000</v>
      </c>
      <c r="AX130" s="9">
        <v>1</v>
      </c>
      <c r="AY130" s="9" t="s">
        <v>675</v>
      </c>
      <c r="AZ130" s="205"/>
      <c r="BB130" s="9"/>
      <c r="BC130" s="9"/>
      <c r="BD130" s="205"/>
      <c r="BE130" s="9"/>
      <c r="BF130" s="206"/>
      <c r="BG130" s="9"/>
      <c r="BH130" s="205"/>
      <c r="CH130" s="37"/>
      <c r="CI130" s="30"/>
      <c r="CJ130" s="210"/>
      <c r="CK130" s="210"/>
      <c r="CL130" s="210"/>
      <c r="CM130" s="210"/>
      <c r="CN130" s="32"/>
      <c r="CO130" s="212"/>
      <c r="CP130" s="9"/>
    </row>
    <row r="131" spans="40:94" ht="12.75" customHeight="1" hidden="1">
      <c r="AN131" s="37">
        <v>129</v>
      </c>
      <c r="AO131" s="93" t="s">
        <v>260</v>
      </c>
      <c r="AP131" s="210">
        <v>8</v>
      </c>
      <c r="AQ131" s="210">
        <v>2</v>
      </c>
      <c r="AR131" s="210">
        <v>3</v>
      </c>
      <c r="AS131" s="210">
        <v>7</v>
      </c>
      <c r="AT131" s="211" t="s">
        <v>676</v>
      </c>
      <c r="AU131" s="212">
        <v>170000</v>
      </c>
      <c r="AX131" s="9">
        <v>1</v>
      </c>
      <c r="AY131" s="9" t="s">
        <v>40</v>
      </c>
      <c r="AZ131" s="205"/>
      <c r="BB131" s="9"/>
      <c r="BC131" s="9"/>
      <c r="BD131" s="205"/>
      <c r="BE131" s="9"/>
      <c r="BF131" s="206"/>
      <c r="BG131" s="9"/>
      <c r="BH131" s="205"/>
      <c r="CH131" s="37"/>
      <c r="CI131" s="93"/>
      <c r="CJ131" s="210"/>
      <c r="CK131" s="210"/>
      <c r="CL131" s="210"/>
      <c r="CM131" s="210"/>
      <c r="CN131" s="211"/>
      <c r="CO131" s="212"/>
      <c r="CP131" s="9"/>
    </row>
    <row r="132" spans="40:94" ht="12.75" customHeight="1" hidden="1">
      <c r="AN132" s="37">
        <v>130</v>
      </c>
      <c r="AO132" s="94" t="s">
        <v>307</v>
      </c>
      <c r="AP132" s="210">
        <v>7</v>
      </c>
      <c r="AQ132" s="210">
        <v>3</v>
      </c>
      <c r="AR132" s="210">
        <v>4</v>
      </c>
      <c r="AS132" s="210">
        <v>7</v>
      </c>
      <c r="AT132" s="211" t="s">
        <v>677</v>
      </c>
      <c r="AU132" s="212">
        <v>210000</v>
      </c>
      <c r="AX132" s="9">
        <v>1</v>
      </c>
      <c r="AY132" s="9" t="s">
        <v>32</v>
      </c>
      <c r="AZ132" s="205"/>
      <c r="BB132" s="9"/>
      <c r="BC132" s="9"/>
      <c r="BD132" s="205"/>
      <c r="BE132" s="9"/>
      <c r="BF132" s="206"/>
      <c r="BG132" s="9"/>
      <c r="BH132" s="205"/>
      <c r="CH132" s="37"/>
      <c r="CI132" s="94"/>
      <c r="CJ132" s="210"/>
      <c r="CK132" s="210"/>
      <c r="CL132" s="210"/>
      <c r="CM132" s="210"/>
      <c r="CN132" s="211"/>
      <c r="CO132" s="212"/>
      <c r="CP132" s="9"/>
    </row>
    <row r="133" spans="40:94" ht="12.75" customHeight="1" hidden="1">
      <c r="AN133" s="37">
        <v>131</v>
      </c>
      <c r="AO133" s="30" t="s">
        <v>286</v>
      </c>
      <c r="AP133" s="210">
        <v>6</v>
      </c>
      <c r="AQ133" s="210">
        <v>5</v>
      </c>
      <c r="AR133" s="210">
        <v>2</v>
      </c>
      <c r="AS133" s="210">
        <v>9</v>
      </c>
      <c r="AT133" s="211" t="s">
        <v>678</v>
      </c>
      <c r="AU133" s="212">
        <v>330000</v>
      </c>
      <c r="AX133" s="9">
        <v>1</v>
      </c>
      <c r="AY133" s="9" t="s">
        <v>30</v>
      </c>
      <c r="AZ133" s="205"/>
      <c r="BB133" s="9"/>
      <c r="BC133" s="9"/>
      <c r="BD133" s="205"/>
      <c r="BE133" s="9"/>
      <c r="BF133" s="206"/>
      <c r="BG133" s="9"/>
      <c r="BH133" s="205"/>
      <c r="CH133" s="37"/>
      <c r="CI133" s="30"/>
      <c r="CJ133" s="210"/>
      <c r="CK133" s="210"/>
      <c r="CL133" s="210"/>
      <c r="CM133" s="210"/>
      <c r="CN133" s="211"/>
      <c r="CO133" s="212"/>
      <c r="CP133" s="9"/>
    </row>
    <row r="134" spans="40:94" ht="12.75" customHeight="1" hidden="1">
      <c r="AN134" s="37">
        <v>132</v>
      </c>
      <c r="AO134" s="94" t="s">
        <v>679</v>
      </c>
      <c r="AP134" s="210">
        <v>7</v>
      </c>
      <c r="AQ134" s="210">
        <v>4</v>
      </c>
      <c r="AR134" s="210">
        <v>4</v>
      </c>
      <c r="AS134" s="210">
        <v>8</v>
      </c>
      <c r="AT134" s="211" t="s">
        <v>680</v>
      </c>
      <c r="AU134" s="212">
        <v>260000</v>
      </c>
      <c r="AX134" s="9">
        <v>1</v>
      </c>
      <c r="AY134" s="9" t="s">
        <v>681</v>
      </c>
      <c r="AZ134" s="205"/>
      <c r="BB134" s="9"/>
      <c r="BC134" s="9"/>
      <c r="BD134" s="205"/>
      <c r="BE134" s="9"/>
      <c r="BF134" s="206"/>
      <c r="BG134" s="9"/>
      <c r="BH134" s="205"/>
      <c r="CH134" s="37"/>
      <c r="CI134" s="94"/>
      <c r="CJ134" s="210"/>
      <c r="CK134" s="210"/>
      <c r="CL134" s="210"/>
      <c r="CM134" s="210"/>
      <c r="CN134" s="211"/>
      <c r="CO134" s="212"/>
      <c r="CP134" s="9"/>
    </row>
    <row r="135" spans="40:94" ht="12.75" customHeight="1" hidden="1">
      <c r="AN135" s="37">
        <v>133</v>
      </c>
      <c r="AO135" s="94" t="s">
        <v>293</v>
      </c>
      <c r="AP135" s="210">
        <v>7</v>
      </c>
      <c r="AQ135" s="210">
        <v>2</v>
      </c>
      <c r="AR135" s="210">
        <v>3</v>
      </c>
      <c r="AS135" s="210">
        <v>7</v>
      </c>
      <c r="AT135" s="211" t="s">
        <v>682</v>
      </c>
      <c r="AU135" s="212">
        <v>130000</v>
      </c>
      <c r="AX135" s="9">
        <v>1</v>
      </c>
      <c r="AY135" s="9" t="s">
        <v>39</v>
      </c>
      <c r="AZ135" s="205"/>
      <c r="BB135" s="9"/>
      <c r="BC135" s="9"/>
      <c r="BD135" s="205"/>
      <c r="BE135" s="9"/>
      <c r="BF135" s="206"/>
      <c r="BG135" s="9"/>
      <c r="BH135" s="205"/>
      <c r="CH135" s="37"/>
      <c r="CI135" s="94"/>
      <c r="CJ135" s="210"/>
      <c r="CK135" s="210"/>
      <c r="CL135" s="210"/>
      <c r="CM135" s="210"/>
      <c r="CN135" s="211"/>
      <c r="CO135" s="212"/>
      <c r="CP135" s="9"/>
    </row>
    <row r="136" spans="40:94" ht="12.75" customHeight="1" hidden="1">
      <c r="AN136" s="37">
        <v>134</v>
      </c>
      <c r="AO136" s="95" t="s">
        <v>341</v>
      </c>
      <c r="AP136" s="210">
        <v>5</v>
      </c>
      <c r="AQ136" s="210">
        <v>6</v>
      </c>
      <c r="AR136" s="210">
        <v>1</v>
      </c>
      <c r="AS136" s="210">
        <v>8</v>
      </c>
      <c r="AT136" s="211" t="s">
        <v>683</v>
      </c>
      <c r="AU136" s="212">
        <v>330000</v>
      </c>
      <c r="AX136" s="9">
        <v>1</v>
      </c>
      <c r="AY136" s="9" t="s">
        <v>42</v>
      </c>
      <c r="AZ136" s="205"/>
      <c r="BB136" s="9"/>
      <c r="BC136" s="9"/>
      <c r="BD136" s="205"/>
      <c r="BE136" s="9"/>
      <c r="BF136" s="206"/>
      <c r="BG136" s="9"/>
      <c r="BH136" s="205"/>
      <c r="CH136" s="37"/>
      <c r="CI136" s="95"/>
      <c r="CJ136" s="210"/>
      <c r="CK136" s="210"/>
      <c r="CL136" s="210"/>
      <c r="CM136" s="210"/>
      <c r="CN136" s="211"/>
      <c r="CO136" s="212"/>
      <c r="CP136" s="9"/>
    </row>
    <row r="137" spans="40:94" ht="12.75" customHeight="1" hidden="1">
      <c r="AN137" s="37">
        <v>135</v>
      </c>
      <c r="AO137" s="95" t="s">
        <v>311</v>
      </c>
      <c r="AP137" s="210">
        <v>7</v>
      </c>
      <c r="AQ137" s="210">
        <v>3</v>
      </c>
      <c r="AR137" s="210">
        <v>3</v>
      </c>
      <c r="AS137" s="210">
        <v>7</v>
      </c>
      <c r="AT137" s="211" t="s">
        <v>684</v>
      </c>
      <c r="AU137" s="212">
        <v>220000</v>
      </c>
      <c r="AX137" s="9">
        <v>1</v>
      </c>
      <c r="AY137" s="9" t="s">
        <v>685</v>
      </c>
      <c r="AZ137" s="205"/>
      <c r="BB137" s="9"/>
      <c r="BC137" s="9"/>
      <c r="BD137" s="205"/>
      <c r="BE137" s="9"/>
      <c r="BF137" s="206"/>
      <c r="BG137" s="9"/>
      <c r="BH137" s="205"/>
      <c r="CH137" s="37"/>
      <c r="CI137" s="95"/>
      <c r="CJ137" s="210"/>
      <c r="CK137" s="210"/>
      <c r="CL137" s="210"/>
      <c r="CM137" s="210"/>
      <c r="CN137" s="211"/>
      <c r="CO137" s="212"/>
      <c r="CP137" s="9"/>
    </row>
    <row r="138" spans="40:94" ht="12.75" customHeight="1" hidden="1">
      <c r="AN138" s="37">
        <v>136</v>
      </c>
      <c r="AO138" s="95" t="s">
        <v>299</v>
      </c>
      <c r="AP138" s="210">
        <v>8</v>
      </c>
      <c r="AQ138" s="210">
        <v>3</v>
      </c>
      <c r="AR138" s="210">
        <v>3</v>
      </c>
      <c r="AS138" s="210">
        <v>7</v>
      </c>
      <c r="AT138" s="211" t="s">
        <v>686</v>
      </c>
      <c r="AU138" s="212">
        <v>180000</v>
      </c>
      <c r="AX138" s="9">
        <v>1</v>
      </c>
      <c r="AY138" s="9" t="s">
        <v>652</v>
      </c>
      <c r="AZ138" s="205"/>
      <c r="BB138" s="9"/>
      <c r="BC138" s="9"/>
      <c r="BD138" s="205"/>
      <c r="BE138" s="9"/>
      <c r="BF138" s="206"/>
      <c r="BG138" s="9"/>
      <c r="BH138" s="205"/>
      <c r="CH138" s="37"/>
      <c r="CI138" s="95"/>
      <c r="CJ138" s="210"/>
      <c r="CK138" s="210"/>
      <c r="CL138" s="210"/>
      <c r="CM138" s="210"/>
      <c r="CN138" s="211"/>
      <c r="CO138" s="212"/>
      <c r="CP138" s="9"/>
    </row>
    <row r="139" spans="40:94" ht="12.75" customHeight="1" hidden="1">
      <c r="AN139" s="37">
        <v>137</v>
      </c>
      <c r="AO139" s="30" t="s">
        <v>321</v>
      </c>
      <c r="AP139" s="210">
        <v>8</v>
      </c>
      <c r="AQ139" s="210">
        <v>3</v>
      </c>
      <c r="AR139" s="210">
        <v>5</v>
      </c>
      <c r="AS139" s="210">
        <v>7</v>
      </c>
      <c r="AT139" s="211" t="s">
        <v>687</v>
      </c>
      <c r="AU139" s="212">
        <v>260000</v>
      </c>
      <c r="AX139" s="9">
        <v>1</v>
      </c>
      <c r="AY139" s="9" t="s">
        <v>688</v>
      </c>
      <c r="AZ139" s="205"/>
      <c r="BB139" s="9"/>
      <c r="BC139" s="9"/>
      <c r="BD139" s="205"/>
      <c r="BE139" s="9"/>
      <c r="BF139" s="206"/>
      <c r="BG139" s="9"/>
      <c r="BH139" s="205"/>
      <c r="CH139" s="37"/>
      <c r="CI139" s="30"/>
      <c r="CJ139" s="210"/>
      <c r="CK139" s="210"/>
      <c r="CL139" s="210"/>
      <c r="CM139" s="210"/>
      <c r="CN139" s="211"/>
      <c r="CO139" s="212"/>
      <c r="CP139" s="9"/>
    </row>
    <row r="140" spans="40:94" ht="12.75" customHeight="1" hidden="1">
      <c r="AN140" s="37">
        <v>138</v>
      </c>
      <c r="AO140" s="30" t="s">
        <v>305</v>
      </c>
      <c r="AP140" s="210">
        <v>6</v>
      </c>
      <c r="AQ140" s="210">
        <v>3</v>
      </c>
      <c r="AR140" s="210">
        <v>3</v>
      </c>
      <c r="AS140" s="210">
        <v>9</v>
      </c>
      <c r="AT140" s="211" t="s">
        <v>689</v>
      </c>
      <c r="AU140" s="212">
        <v>150000</v>
      </c>
      <c r="AX140" s="9">
        <v>1</v>
      </c>
      <c r="AY140" s="9" t="s">
        <v>690</v>
      </c>
      <c r="AZ140" s="205"/>
      <c r="BB140" s="9"/>
      <c r="BC140" s="9"/>
      <c r="BD140" s="205"/>
      <c r="BE140" s="9"/>
      <c r="BF140" s="206"/>
      <c r="BG140" s="9"/>
      <c r="BH140" s="205"/>
      <c r="CH140" s="37"/>
      <c r="CI140" s="30"/>
      <c r="CJ140" s="210"/>
      <c r="CK140" s="210"/>
      <c r="CL140" s="210"/>
      <c r="CM140" s="210"/>
      <c r="CN140" s="211"/>
      <c r="CO140" s="212"/>
      <c r="CP140" s="9"/>
    </row>
    <row r="141" spans="40:94" ht="12.75" customHeight="1" hidden="1">
      <c r="AN141" s="37">
        <v>139</v>
      </c>
      <c r="AO141" s="30" t="s">
        <v>318</v>
      </c>
      <c r="AP141" s="210">
        <v>5</v>
      </c>
      <c r="AQ141" s="210">
        <v>5</v>
      </c>
      <c r="AR141" s="210">
        <v>3</v>
      </c>
      <c r="AS141" s="210">
        <v>9</v>
      </c>
      <c r="AT141" s="211" t="s">
        <v>691</v>
      </c>
      <c r="AU141" s="212">
        <v>300000</v>
      </c>
      <c r="AX141" s="9">
        <v>1</v>
      </c>
      <c r="AY141" s="9" t="s">
        <v>690</v>
      </c>
      <c r="AZ141" s="205"/>
      <c r="BB141" s="9"/>
      <c r="BC141" s="9"/>
      <c r="BD141" s="205"/>
      <c r="BE141" s="9"/>
      <c r="BF141" s="206"/>
      <c r="BG141" s="9"/>
      <c r="BH141" s="205"/>
      <c r="CH141" s="37"/>
      <c r="CI141" s="30"/>
      <c r="CJ141" s="210"/>
      <c r="CK141" s="210"/>
      <c r="CL141" s="210"/>
      <c r="CM141" s="210"/>
      <c r="CN141" s="211"/>
      <c r="CO141" s="212"/>
      <c r="CP141" s="9"/>
    </row>
    <row r="142" spans="40:94" ht="12.75" customHeight="1" hidden="1">
      <c r="AN142" s="37">
        <v>140</v>
      </c>
      <c r="AO142" s="30" t="s">
        <v>294</v>
      </c>
      <c r="AP142" s="210">
        <v>8</v>
      </c>
      <c r="AQ142" s="210">
        <v>3</v>
      </c>
      <c r="AR142" s="210">
        <v>3</v>
      </c>
      <c r="AS142" s="210">
        <v>8</v>
      </c>
      <c r="AT142" s="211" t="s">
        <v>692</v>
      </c>
      <c r="AU142" s="212">
        <v>220000</v>
      </c>
      <c r="AX142" s="9">
        <v>1</v>
      </c>
      <c r="AY142" s="9" t="s">
        <v>693</v>
      </c>
      <c r="AZ142" s="205"/>
      <c r="BB142" s="9"/>
      <c r="BC142" s="9"/>
      <c r="BD142" s="205"/>
      <c r="BE142" s="9"/>
      <c r="BF142" s="206"/>
      <c r="BG142" s="9"/>
      <c r="BH142" s="205"/>
      <c r="CH142" s="37"/>
      <c r="CI142" s="30"/>
      <c r="CJ142" s="210"/>
      <c r="CK142" s="210"/>
      <c r="CL142" s="210"/>
      <c r="CM142" s="210"/>
      <c r="CN142" s="211"/>
      <c r="CO142" s="212"/>
      <c r="CP142" s="9"/>
    </row>
    <row r="143" spans="40:94" ht="12.75" customHeight="1" hidden="1">
      <c r="AN143" s="37">
        <v>141</v>
      </c>
      <c r="AO143" s="93" t="s">
        <v>334</v>
      </c>
      <c r="AP143" s="210">
        <v>5</v>
      </c>
      <c r="AQ143" s="210">
        <v>4</v>
      </c>
      <c r="AR143" s="210">
        <v>3</v>
      </c>
      <c r="AS143" s="210">
        <v>8</v>
      </c>
      <c r="AT143" s="211" t="s">
        <v>694</v>
      </c>
      <c r="AU143" s="212">
        <v>130000</v>
      </c>
      <c r="AX143" s="9">
        <v>1</v>
      </c>
      <c r="AY143" s="9" t="s">
        <v>690</v>
      </c>
      <c r="AZ143" s="205"/>
      <c r="BB143" s="9"/>
      <c r="BC143" s="9"/>
      <c r="BD143" s="205"/>
      <c r="BE143" s="9"/>
      <c r="BF143" s="206"/>
      <c r="BG143" s="9"/>
      <c r="BH143" s="205"/>
      <c r="CH143" s="37"/>
      <c r="CI143" s="93"/>
      <c r="CJ143" s="210"/>
      <c r="CK143" s="210"/>
      <c r="CL143" s="210"/>
      <c r="CM143" s="210"/>
      <c r="CN143" s="211"/>
      <c r="CO143" s="212"/>
      <c r="CP143" s="9"/>
    </row>
    <row r="144" spans="40:94" ht="12.75" customHeight="1" hidden="1">
      <c r="AN144" s="37">
        <v>142</v>
      </c>
      <c r="AO144" s="93" t="s">
        <v>325</v>
      </c>
      <c r="AP144" s="210">
        <v>4</v>
      </c>
      <c r="AQ144" s="210">
        <v>5</v>
      </c>
      <c r="AR144" s="210">
        <v>2</v>
      </c>
      <c r="AS144" s="210">
        <v>9</v>
      </c>
      <c r="AT144" s="211" t="s">
        <v>695</v>
      </c>
      <c r="AU144" s="212">
        <v>260000</v>
      </c>
      <c r="AX144" s="9">
        <v>1</v>
      </c>
      <c r="AY144" s="9" t="s">
        <v>38</v>
      </c>
      <c r="AZ144" s="205"/>
      <c r="BB144" s="9"/>
      <c r="BC144" s="9"/>
      <c r="BD144" s="205"/>
      <c r="BE144" s="9"/>
      <c r="BF144" s="206"/>
      <c r="BG144" s="9"/>
      <c r="BH144" s="205"/>
      <c r="CH144" s="37"/>
      <c r="CI144" s="93"/>
      <c r="CJ144" s="210"/>
      <c r="CK144" s="210"/>
      <c r="CL144" s="210"/>
      <c r="CM144" s="210"/>
      <c r="CN144" s="211"/>
      <c r="CO144" s="212"/>
      <c r="CP144" s="9"/>
    </row>
    <row r="145" spans="40:94" ht="12.75" customHeight="1" hidden="1">
      <c r="AN145" s="37">
        <v>143</v>
      </c>
      <c r="AO145" s="30" t="s">
        <v>258</v>
      </c>
      <c r="AP145" s="210">
        <v>6</v>
      </c>
      <c r="AQ145" s="210">
        <v>6</v>
      </c>
      <c r="AR145" s="210">
        <v>3</v>
      </c>
      <c r="AS145" s="210">
        <v>10</v>
      </c>
      <c r="AT145" s="211" t="s">
        <v>696</v>
      </c>
      <c r="AU145" s="212">
        <v>430000</v>
      </c>
      <c r="AX145" s="9">
        <v>1</v>
      </c>
      <c r="AY145" s="9" t="s">
        <v>697</v>
      </c>
      <c r="AZ145" s="205"/>
      <c r="BB145" s="9"/>
      <c r="BC145" s="9"/>
      <c r="BD145" s="205"/>
      <c r="BE145" s="9"/>
      <c r="BF145" s="206"/>
      <c r="BG145" s="9"/>
      <c r="BH145" s="205"/>
      <c r="CH145" s="37"/>
      <c r="CI145" s="30"/>
      <c r="CJ145" s="210"/>
      <c r="CK145" s="210"/>
      <c r="CL145" s="210"/>
      <c r="CM145" s="210"/>
      <c r="CN145" s="211"/>
      <c r="CO145" s="212"/>
      <c r="CP145" s="9"/>
    </row>
    <row r="146" spans="40:94" ht="12.75" customHeight="1" hidden="1">
      <c r="AN146" s="37">
        <v>144</v>
      </c>
      <c r="AO146" s="30" t="s">
        <v>319</v>
      </c>
      <c r="AP146" s="31">
        <v>6</v>
      </c>
      <c r="AQ146" s="31">
        <v>2</v>
      </c>
      <c r="AR146" s="31">
        <v>3</v>
      </c>
      <c r="AS146" s="31">
        <v>7</v>
      </c>
      <c r="AT146" s="32" t="s">
        <v>698</v>
      </c>
      <c r="AU146" s="33">
        <v>130000</v>
      </c>
      <c r="AX146" s="9">
        <v>1</v>
      </c>
      <c r="AY146" s="9" t="s">
        <v>699</v>
      </c>
      <c r="AZ146" s="205"/>
      <c r="BB146" s="9"/>
      <c r="BC146" s="9"/>
      <c r="BD146" s="205"/>
      <c r="BE146" s="9"/>
      <c r="BF146" s="206"/>
      <c r="BG146" s="9"/>
      <c r="BH146" s="205"/>
      <c r="CH146" s="37"/>
      <c r="CI146" s="30"/>
      <c r="CJ146" s="31"/>
      <c r="CK146" s="31"/>
      <c r="CL146" s="31"/>
      <c r="CM146" s="31"/>
      <c r="CN146" s="32"/>
      <c r="CO146" s="33"/>
      <c r="CP146" s="9"/>
    </row>
    <row r="147" spans="40:94" ht="12.75" customHeight="1" hidden="1">
      <c r="AN147" s="37">
        <v>145</v>
      </c>
      <c r="AO147" s="95" t="s">
        <v>324</v>
      </c>
      <c r="AP147" s="31">
        <v>7</v>
      </c>
      <c r="AQ147" s="31">
        <v>4</v>
      </c>
      <c r="AR147" s="31">
        <v>4</v>
      </c>
      <c r="AS147" s="31">
        <v>8</v>
      </c>
      <c r="AT147" s="32" t="s">
        <v>700</v>
      </c>
      <c r="AU147" s="33">
        <v>230000</v>
      </c>
      <c r="AX147" s="9">
        <v>1</v>
      </c>
      <c r="AY147" s="9" t="s">
        <v>701</v>
      </c>
      <c r="AZ147" s="205"/>
      <c r="BB147" s="9"/>
      <c r="BC147" s="9"/>
      <c r="BD147" s="205"/>
      <c r="BE147" s="9"/>
      <c r="BF147" s="206"/>
      <c r="BG147" s="9"/>
      <c r="BH147" s="205"/>
      <c r="CH147" s="37"/>
      <c r="CI147" s="95"/>
      <c r="CJ147" s="31"/>
      <c r="CK147" s="31"/>
      <c r="CL147" s="31"/>
      <c r="CM147" s="31"/>
      <c r="CN147" s="32"/>
      <c r="CO147" s="33"/>
      <c r="CP147" s="9"/>
    </row>
    <row r="148" spans="40:94" ht="12.75" customHeight="1" hidden="1">
      <c r="AN148" s="37">
        <v>146</v>
      </c>
      <c r="AO148" s="30" t="s">
        <v>291</v>
      </c>
      <c r="AP148" s="210">
        <v>5</v>
      </c>
      <c r="AQ148" s="210">
        <v>3</v>
      </c>
      <c r="AR148" s="210">
        <v>3</v>
      </c>
      <c r="AS148" s="210">
        <v>6</v>
      </c>
      <c r="AT148" s="211" t="s">
        <v>702</v>
      </c>
      <c r="AU148" s="212">
        <v>140000</v>
      </c>
      <c r="AX148" s="9">
        <v>1</v>
      </c>
      <c r="AY148" s="9" t="s">
        <v>703</v>
      </c>
      <c r="AZ148" s="205"/>
      <c r="BB148" s="9"/>
      <c r="BC148" s="9"/>
      <c r="BD148" s="205"/>
      <c r="BE148" s="9"/>
      <c r="BF148" s="206"/>
      <c r="BG148" s="9"/>
      <c r="BH148" s="205"/>
      <c r="CH148" s="37"/>
      <c r="CI148" s="30"/>
      <c r="CJ148" s="210"/>
      <c r="CK148" s="210"/>
      <c r="CL148" s="210"/>
      <c r="CM148" s="210"/>
      <c r="CN148" s="211"/>
      <c r="CO148" s="212"/>
      <c r="CP148" s="9"/>
    </row>
    <row r="149" spans="40:94" ht="12.75" customHeight="1" hidden="1">
      <c r="AN149" s="37">
        <v>147</v>
      </c>
      <c r="AO149" s="30" t="s">
        <v>327</v>
      </c>
      <c r="AP149" s="210">
        <v>8</v>
      </c>
      <c r="AQ149" s="210">
        <v>2</v>
      </c>
      <c r="AR149" s="210">
        <v>4</v>
      </c>
      <c r="AS149" s="210">
        <v>7</v>
      </c>
      <c r="AT149" s="211" t="s">
        <v>704</v>
      </c>
      <c r="AU149" s="212">
        <v>250000</v>
      </c>
      <c r="AX149" s="9">
        <v>1</v>
      </c>
      <c r="AY149" s="9" t="s">
        <v>693</v>
      </c>
      <c r="AZ149" s="205"/>
      <c r="BB149" s="9"/>
      <c r="BC149" s="9"/>
      <c r="BD149" s="205"/>
      <c r="BE149" s="9"/>
      <c r="BF149" s="206"/>
      <c r="BG149" s="9"/>
      <c r="BH149" s="205"/>
      <c r="CH149" s="37"/>
      <c r="CI149" s="30"/>
      <c r="CJ149" s="210"/>
      <c r="CK149" s="210"/>
      <c r="CL149" s="210"/>
      <c r="CM149" s="210"/>
      <c r="CN149" s="211"/>
      <c r="CO149" s="212"/>
      <c r="CP149" s="9"/>
    </row>
    <row r="150" spans="40:94" ht="12.75" customHeight="1" hidden="1">
      <c r="AN150" s="37">
        <v>148</v>
      </c>
      <c r="AO150" s="30" t="s">
        <v>326</v>
      </c>
      <c r="AP150" s="210">
        <v>5</v>
      </c>
      <c r="AQ150" s="210">
        <v>6</v>
      </c>
      <c r="AR150" s="210">
        <v>1</v>
      </c>
      <c r="AS150" s="210">
        <v>9</v>
      </c>
      <c r="AT150" s="211" t="s">
        <v>705</v>
      </c>
      <c r="AU150" s="212">
        <v>380000</v>
      </c>
      <c r="AX150" s="9">
        <v>1</v>
      </c>
      <c r="AY150" s="9" t="s">
        <v>671</v>
      </c>
      <c r="AZ150" s="205"/>
      <c r="BB150" s="9"/>
      <c r="BC150" s="9"/>
      <c r="BD150" s="205"/>
      <c r="BE150" s="9"/>
      <c r="BF150" s="206"/>
      <c r="BG150" s="9"/>
      <c r="BH150" s="205"/>
      <c r="CH150" s="37"/>
      <c r="CI150" s="30"/>
      <c r="CJ150" s="210"/>
      <c r="CK150" s="210"/>
      <c r="CL150" s="210"/>
      <c r="CM150" s="210"/>
      <c r="CN150" s="211"/>
      <c r="CO150" s="212"/>
      <c r="CP150" s="9"/>
    </row>
    <row r="151" spans="40:94" ht="12.75" customHeight="1" hidden="1">
      <c r="AN151" s="37">
        <v>149</v>
      </c>
      <c r="AO151" s="30" t="s">
        <v>335</v>
      </c>
      <c r="AP151" s="210">
        <v>7</v>
      </c>
      <c r="AQ151" s="210">
        <v>3</v>
      </c>
      <c r="AR151" s="210">
        <v>3</v>
      </c>
      <c r="AS151" s="210">
        <v>7</v>
      </c>
      <c r="AT151" s="211" t="s">
        <v>706</v>
      </c>
      <c r="AU151" s="212">
        <v>200000</v>
      </c>
      <c r="AX151" s="9">
        <v>1</v>
      </c>
      <c r="AY151" s="9" t="s">
        <v>30</v>
      </c>
      <c r="AZ151" s="205"/>
      <c r="BB151" s="9"/>
      <c r="BC151" s="9"/>
      <c r="BD151" s="205"/>
      <c r="BE151" s="9"/>
      <c r="BF151" s="206"/>
      <c r="BG151" s="9"/>
      <c r="BH151" s="205"/>
      <c r="CH151" s="37"/>
      <c r="CI151" s="30"/>
      <c r="CJ151" s="210"/>
      <c r="CK151" s="210"/>
      <c r="CL151" s="210"/>
      <c r="CM151" s="210"/>
      <c r="CN151" s="211"/>
      <c r="CO151" s="212"/>
      <c r="CP151" s="9"/>
    </row>
    <row r="152" spans="40:94" ht="12.75" customHeight="1" hidden="1">
      <c r="AN152" s="37">
        <v>150</v>
      </c>
      <c r="AO152" s="30" t="s">
        <v>343</v>
      </c>
      <c r="AP152" s="210">
        <v>4</v>
      </c>
      <c r="AQ152" s="210">
        <v>6</v>
      </c>
      <c r="AR152" s="210">
        <v>1</v>
      </c>
      <c r="AS152" s="210">
        <v>9</v>
      </c>
      <c r="AT152" s="211" t="s">
        <v>707</v>
      </c>
      <c r="AU152" s="212">
        <v>270000</v>
      </c>
      <c r="AX152" s="9">
        <v>1</v>
      </c>
      <c r="AY152" s="9" t="s">
        <v>708</v>
      </c>
      <c r="AZ152" s="205"/>
      <c r="BB152" s="9"/>
      <c r="BC152" s="9"/>
      <c r="BD152" s="205"/>
      <c r="BE152" s="9"/>
      <c r="BF152" s="206"/>
      <c r="BG152" s="9"/>
      <c r="BH152" s="205"/>
      <c r="CH152" s="37"/>
      <c r="CI152" s="30"/>
      <c r="CJ152" s="210"/>
      <c r="CK152" s="210"/>
      <c r="CL152" s="210"/>
      <c r="CM152" s="210"/>
      <c r="CN152" s="211"/>
      <c r="CO152" s="212"/>
      <c r="CP152" s="9"/>
    </row>
    <row r="153" spans="40:94" ht="12.75" customHeight="1" hidden="1">
      <c r="AN153" s="37">
        <v>151</v>
      </c>
      <c r="AO153" s="30" t="s">
        <v>317</v>
      </c>
      <c r="AP153" s="210">
        <v>8</v>
      </c>
      <c r="AQ153" s="210">
        <v>3</v>
      </c>
      <c r="AR153" s="210">
        <v>5</v>
      </c>
      <c r="AS153" s="210">
        <v>7</v>
      </c>
      <c r="AT153" s="211" t="s">
        <v>709</v>
      </c>
      <c r="AU153" s="212">
        <v>250000</v>
      </c>
      <c r="AX153" s="9">
        <v>1</v>
      </c>
      <c r="AY153" s="9" t="s">
        <v>710</v>
      </c>
      <c r="AZ153" s="205"/>
      <c r="BB153" s="9"/>
      <c r="BC153" s="9"/>
      <c r="BD153" s="205"/>
      <c r="BE153" s="9"/>
      <c r="BF153" s="206"/>
      <c r="BG153" s="9"/>
      <c r="BH153" s="205"/>
      <c r="CH153" s="37"/>
      <c r="CI153" s="30"/>
      <c r="CJ153" s="210"/>
      <c r="CK153" s="210"/>
      <c r="CL153" s="210"/>
      <c r="CM153" s="210"/>
      <c r="CN153" s="211"/>
      <c r="CO153" s="212"/>
      <c r="CP153" s="9"/>
    </row>
    <row r="154" spans="40:94" ht="12.75" customHeight="1" hidden="1">
      <c r="AN154" s="37">
        <v>152</v>
      </c>
      <c r="AO154" s="30" t="s">
        <v>342</v>
      </c>
      <c r="AP154" s="210">
        <v>7</v>
      </c>
      <c r="AQ154" s="210">
        <v>2</v>
      </c>
      <c r="AR154" s="210">
        <v>3</v>
      </c>
      <c r="AS154" s="210">
        <v>7</v>
      </c>
      <c r="AT154" s="211" t="s">
        <v>711</v>
      </c>
      <c r="AU154" s="212">
        <v>150000</v>
      </c>
      <c r="AX154" s="9">
        <v>1</v>
      </c>
      <c r="AY154" s="9" t="s">
        <v>648</v>
      </c>
      <c r="AZ154" s="205"/>
      <c r="BB154" s="9"/>
      <c r="BC154" s="9"/>
      <c r="BD154" s="205"/>
      <c r="BE154" s="9"/>
      <c r="BF154" s="206"/>
      <c r="BG154" s="9"/>
      <c r="BH154" s="205"/>
      <c r="CH154" s="37"/>
      <c r="CI154" s="30"/>
      <c r="CJ154" s="210"/>
      <c r="CK154" s="210"/>
      <c r="CL154" s="210"/>
      <c r="CM154" s="210"/>
      <c r="CN154" s="211"/>
      <c r="CO154" s="212"/>
      <c r="CP154" s="9"/>
    </row>
    <row r="155" spans="40:94" ht="12.75" customHeight="1" hidden="1">
      <c r="AN155" s="37">
        <v>153</v>
      </c>
      <c r="AO155" s="30" t="s">
        <v>339</v>
      </c>
      <c r="AP155" s="210">
        <v>6</v>
      </c>
      <c r="AQ155" s="210">
        <v>4</v>
      </c>
      <c r="AR155" s="210">
        <v>2</v>
      </c>
      <c r="AS155" s="210">
        <v>8</v>
      </c>
      <c r="AT155" s="211" t="s">
        <v>712</v>
      </c>
      <c r="AU155" s="212">
        <v>220000</v>
      </c>
      <c r="AX155" s="9">
        <v>1</v>
      </c>
      <c r="AY155" s="9" t="s">
        <v>671</v>
      </c>
      <c r="AZ155" s="205"/>
      <c r="BB155" s="9"/>
      <c r="BC155" s="9"/>
      <c r="BD155" s="205"/>
      <c r="BE155" s="9"/>
      <c r="BF155" s="206"/>
      <c r="BG155" s="9"/>
      <c r="BH155" s="205"/>
      <c r="CH155" s="37"/>
      <c r="CI155" s="30"/>
      <c r="CJ155" s="210"/>
      <c r="CK155" s="210"/>
      <c r="CL155" s="210"/>
      <c r="CM155" s="210"/>
      <c r="CN155" s="211"/>
      <c r="CO155" s="212"/>
      <c r="CP155" s="9"/>
    </row>
    <row r="156" spans="40:94" ht="12.75" customHeight="1" hidden="1">
      <c r="AN156" s="37">
        <v>154</v>
      </c>
      <c r="AO156" s="30" t="s">
        <v>340</v>
      </c>
      <c r="AP156" s="210">
        <v>7</v>
      </c>
      <c r="AQ156" s="210">
        <v>4</v>
      </c>
      <c r="AR156" s="210">
        <v>1</v>
      </c>
      <c r="AS156" s="210">
        <v>9</v>
      </c>
      <c r="AT156" s="211" t="s">
        <v>713</v>
      </c>
      <c r="AU156" s="212">
        <v>250000</v>
      </c>
      <c r="AX156" s="9">
        <v>1</v>
      </c>
      <c r="AY156" s="9" t="s">
        <v>40</v>
      </c>
      <c r="AZ156" s="205"/>
      <c r="BB156" s="9"/>
      <c r="BC156" s="9"/>
      <c r="BD156" s="205"/>
      <c r="BE156" s="9"/>
      <c r="BF156" s="206"/>
      <c r="BG156" s="9"/>
      <c r="BH156" s="205"/>
      <c r="CH156" s="37"/>
      <c r="CI156" s="30"/>
      <c r="CJ156" s="210"/>
      <c r="CK156" s="210"/>
      <c r="CL156" s="210"/>
      <c r="CM156" s="210"/>
      <c r="CN156" s="211"/>
      <c r="CO156" s="212"/>
      <c r="CP156" s="9"/>
    </row>
    <row r="157" spans="40:94" ht="12.75" customHeight="1" hidden="1">
      <c r="AN157" s="37">
        <v>155</v>
      </c>
      <c r="AO157" s="30" t="s">
        <v>353</v>
      </c>
      <c r="AP157" s="210">
        <v>6</v>
      </c>
      <c r="AQ157" s="210">
        <v>3</v>
      </c>
      <c r="AR157" s="210">
        <v>2</v>
      </c>
      <c r="AS157" s="210">
        <v>7</v>
      </c>
      <c r="AT157" s="211" t="s">
        <v>714</v>
      </c>
      <c r="AU157" s="212">
        <v>80000</v>
      </c>
      <c r="AX157" s="9">
        <v>1</v>
      </c>
      <c r="AY157" s="9" t="s">
        <v>715</v>
      </c>
      <c r="AZ157" s="205"/>
      <c r="BB157" s="9"/>
      <c r="BC157" s="9"/>
      <c r="BD157" s="205"/>
      <c r="BE157" s="9"/>
      <c r="BF157" s="206"/>
      <c r="BG157" s="9"/>
      <c r="BH157" s="205"/>
      <c r="CH157" s="37"/>
      <c r="CI157" s="30"/>
      <c r="CJ157" s="210"/>
      <c r="CK157" s="210"/>
      <c r="CL157" s="210"/>
      <c r="CM157" s="210"/>
      <c r="CN157" s="211"/>
      <c r="CO157" s="212"/>
      <c r="CP157" s="9"/>
    </row>
    <row r="158" spans="40:94" ht="12.75" customHeight="1" hidden="1">
      <c r="AN158" s="37">
        <v>156</v>
      </c>
      <c r="AO158" s="30" t="s">
        <v>369</v>
      </c>
      <c r="AP158" s="210">
        <v>9</v>
      </c>
      <c r="AQ158" s="210">
        <v>2</v>
      </c>
      <c r="AR158" s="210">
        <v>4</v>
      </c>
      <c r="AS158" s="210">
        <v>7</v>
      </c>
      <c r="AT158" s="211" t="s">
        <v>716</v>
      </c>
      <c r="AU158" s="212">
        <v>160000</v>
      </c>
      <c r="AX158" s="9">
        <v>1</v>
      </c>
      <c r="AY158" s="9" t="s">
        <v>46</v>
      </c>
      <c r="AZ158" s="205"/>
      <c r="BB158" s="9"/>
      <c r="BC158" s="9"/>
      <c r="BD158" s="205"/>
      <c r="BE158" s="9"/>
      <c r="BF158" s="206"/>
      <c r="BG158" s="9"/>
      <c r="BH158" s="205"/>
      <c r="CH158" s="37"/>
      <c r="CI158" s="30"/>
      <c r="CJ158" s="210"/>
      <c r="CK158" s="210"/>
      <c r="CL158" s="210"/>
      <c r="CM158" s="210"/>
      <c r="CN158" s="211"/>
      <c r="CO158" s="212"/>
      <c r="CP158" s="9"/>
    </row>
    <row r="159" spans="40:94" ht="12.75" customHeight="1" hidden="1">
      <c r="AN159" s="37">
        <v>157</v>
      </c>
      <c r="AO159" s="30" t="s">
        <v>338</v>
      </c>
      <c r="AP159" s="210">
        <v>6</v>
      </c>
      <c r="AQ159" s="210">
        <v>3</v>
      </c>
      <c r="AR159" s="210">
        <v>4</v>
      </c>
      <c r="AS159" s="210">
        <v>8</v>
      </c>
      <c r="AT159" s="211" t="s">
        <v>717</v>
      </c>
      <c r="AU159" s="212">
        <v>180000</v>
      </c>
      <c r="AX159" s="9">
        <v>1</v>
      </c>
      <c r="AY159" s="9" t="s">
        <v>37</v>
      </c>
      <c r="AZ159" s="205"/>
      <c r="BB159" s="9"/>
      <c r="BC159" s="9"/>
      <c r="BD159" s="205"/>
      <c r="BE159" s="9"/>
      <c r="BF159" s="206"/>
      <c r="BG159" s="9"/>
      <c r="BH159" s="205"/>
      <c r="CH159" s="37"/>
      <c r="CI159" s="30"/>
      <c r="CJ159" s="210"/>
      <c r="CK159" s="210"/>
      <c r="CL159" s="210"/>
      <c r="CM159" s="210"/>
      <c r="CN159" s="211"/>
      <c r="CO159" s="212"/>
      <c r="CP159" s="9"/>
    </row>
    <row r="160" spans="40:94" ht="12.75" customHeight="1" hidden="1">
      <c r="AN160" s="37">
        <v>158</v>
      </c>
      <c r="AO160" s="30" t="s">
        <v>368</v>
      </c>
      <c r="AP160" s="210">
        <v>5</v>
      </c>
      <c r="AQ160" s="210">
        <v>3</v>
      </c>
      <c r="AR160" s="210">
        <v>3</v>
      </c>
      <c r="AS160" s="210">
        <v>9</v>
      </c>
      <c r="AT160" s="211" t="s">
        <v>694</v>
      </c>
      <c r="AU160" s="212">
        <v>100000</v>
      </c>
      <c r="AX160" s="9">
        <v>1</v>
      </c>
      <c r="AY160" s="9" t="s">
        <v>45</v>
      </c>
      <c r="AZ160" s="205"/>
      <c r="BB160" s="9"/>
      <c r="BC160" s="9"/>
      <c r="BD160" s="205"/>
      <c r="BE160" s="9"/>
      <c r="BF160" s="206"/>
      <c r="BG160" s="9"/>
      <c r="BH160" s="205"/>
      <c r="CH160" s="37"/>
      <c r="CI160" s="30"/>
      <c r="CJ160" s="210"/>
      <c r="CK160" s="210"/>
      <c r="CL160" s="210"/>
      <c r="CM160" s="210"/>
      <c r="CN160" s="211"/>
      <c r="CO160" s="212"/>
      <c r="CP160" s="9"/>
    </row>
    <row r="161" spans="40:94" ht="12.75" customHeight="1" hidden="1">
      <c r="AN161" s="37">
        <v>159</v>
      </c>
      <c r="AO161" s="30" t="s">
        <v>385</v>
      </c>
      <c r="AP161" s="210">
        <v>6</v>
      </c>
      <c r="AQ161" s="210">
        <v>4</v>
      </c>
      <c r="AR161" s="210">
        <v>3</v>
      </c>
      <c r="AS161" s="210">
        <v>9</v>
      </c>
      <c r="AT161" s="211" t="s">
        <v>718</v>
      </c>
      <c r="AU161" s="212">
        <v>290000</v>
      </c>
      <c r="AX161" s="9">
        <v>1</v>
      </c>
      <c r="AY161" s="9" t="s">
        <v>45</v>
      </c>
      <c r="AZ161" s="205"/>
      <c r="BB161" s="9"/>
      <c r="BC161" s="9"/>
      <c r="BD161" s="205"/>
      <c r="BE161" s="9"/>
      <c r="BF161" s="206"/>
      <c r="BG161" s="9"/>
      <c r="BH161" s="205"/>
      <c r="CH161" s="37"/>
      <c r="CI161" s="30"/>
      <c r="CJ161" s="210"/>
      <c r="CK161" s="210"/>
      <c r="CL161" s="210"/>
      <c r="CM161" s="210"/>
      <c r="CN161" s="211"/>
      <c r="CO161" s="212"/>
      <c r="CP161" s="9"/>
    </row>
    <row r="162" spans="40:94" ht="12.75" customHeight="1" hidden="1">
      <c r="AN162" s="37">
        <v>160</v>
      </c>
      <c r="AO162" s="30" t="s">
        <v>329</v>
      </c>
      <c r="AP162" s="210">
        <v>8</v>
      </c>
      <c r="AQ162" s="210">
        <v>4</v>
      </c>
      <c r="AR162" s="210">
        <v>3</v>
      </c>
      <c r="AS162" s="210">
        <v>8</v>
      </c>
      <c r="AT162" s="211" t="s">
        <v>719</v>
      </c>
      <c r="AU162" s="212">
        <v>240000</v>
      </c>
      <c r="AX162" s="9">
        <v>1</v>
      </c>
      <c r="AY162" s="9" t="s">
        <v>720</v>
      </c>
      <c r="AZ162" s="205"/>
      <c r="BB162" s="9"/>
      <c r="BC162" s="9"/>
      <c r="BD162" s="205"/>
      <c r="BE162" s="9"/>
      <c r="BF162" s="206"/>
      <c r="BG162" s="9"/>
      <c r="BH162" s="205"/>
      <c r="CH162" s="37"/>
      <c r="CI162" s="30"/>
      <c r="CJ162" s="210"/>
      <c r="CK162" s="210"/>
      <c r="CL162" s="210"/>
      <c r="CM162" s="210"/>
      <c r="CN162" s="211"/>
      <c r="CO162" s="212"/>
      <c r="CP162" s="9"/>
    </row>
    <row r="163" spans="40:94" ht="12.75" customHeight="1" hidden="1">
      <c r="AN163" s="37">
        <v>161</v>
      </c>
      <c r="AO163" s="30" t="s">
        <v>310</v>
      </c>
      <c r="AP163" s="210">
        <v>5</v>
      </c>
      <c r="AQ163" s="210">
        <v>4</v>
      </c>
      <c r="AR163" s="210">
        <v>3</v>
      </c>
      <c r="AS163" s="210">
        <v>8</v>
      </c>
      <c r="AT163" s="211" t="s">
        <v>721</v>
      </c>
      <c r="AU163" s="212">
        <v>150000</v>
      </c>
      <c r="AX163" s="9">
        <v>1</v>
      </c>
      <c r="AY163" s="9" t="s">
        <v>722</v>
      </c>
      <c r="AZ163" s="205"/>
      <c r="BB163" s="9"/>
      <c r="BC163" s="9"/>
      <c r="BD163" s="205"/>
      <c r="BE163" s="9"/>
      <c r="BF163" s="206"/>
      <c r="BG163" s="9"/>
      <c r="BH163" s="205"/>
      <c r="CH163" s="37"/>
      <c r="CI163" s="30"/>
      <c r="CJ163" s="210"/>
      <c r="CK163" s="210"/>
      <c r="CL163" s="210"/>
      <c r="CM163" s="210"/>
      <c r="CN163" s="211"/>
      <c r="CO163" s="212"/>
      <c r="CP163" s="9"/>
    </row>
    <row r="164" spans="40:94" ht="12.75" customHeight="1" hidden="1">
      <c r="AN164" s="37">
        <v>162</v>
      </c>
      <c r="AO164" s="30" t="s">
        <v>323</v>
      </c>
      <c r="AP164" s="210">
        <v>6</v>
      </c>
      <c r="AQ164" s="210">
        <v>4</v>
      </c>
      <c r="AR164" s="210">
        <v>3</v>
      </c>
      <c r="AS164" s="210">
        <v>8</v>
      </c>
      <c r="AT164" s="211" t="s">
        <v>723</v>
      </c>
      <c r="AU164" s="212">
        <v>270000</v>
      </c>
      <c r="AX164" s="9">
        <v>1</v>
      </c>
      <c r="AY164" s="9" t="s">
        <v>724</v>
      </c>
      <c r="AZ164" s="205"/>
      <c r="BB164" s="9"/>
      <c r="BC164" s="9"/>
      <c r="BD164" s="205"/>
      <c r="BE164" s="9"/>
      <c r="BF164" s="206"/>
      <c r="BG164" s="9"/>
      <c r="BH164" s="205"/>
      <c r="CH164" s="37"/>
      <c r="CI164" s="30"/>
      <c r="CJ164" s="210"/>
      <c r="CK164" s="210"/>
      <c r="CL164" s="210"/>
      <c r="CM164" s="210"/>
      <c r="CN164" s="211"/>
      <c r="CO164" s="212"/>
      <c r="CP164" s="9"/>
    </row>
    <row r="165" spans="40:94" ht="12.75" customHeight="1" hidden="1">
      <c r="AN165" s="37">
        <v>163</v>
      </c>
      <c r="AO165" s="30" t="s">
        <v>351</v>
      </c>
      <c r="AP165" s="210">
        <v>4</v>
      </c>
      <c r="AQ165" s="210">
        <v>4</v>
      </c>
      <c r="AR165" s="210">
        <v>3</v>
      </c>
      <c r="AS165" s="210">
        <v>9</v>
      </c>
      <c r="AT165" s="211" t="s">
        <v>725</v>
      </c>
      <c r="AU165" s="212">
        <v>90000</v>
      </c>
      <c r="AX165" s="9">
        <v>1</v>
      </c>
      <c r="AY165" s="9" t="s">
        <v>30</v>
      </c>
      <c r="AZ165" s="205"/>
      <c r="BB165" s="9"/>
      <c r="BC165" s="9"/>
      <c r="BD165" s="205"/>
      <c r="BE165" s="9"/>
      <c r="BF165" s="206"/>
      <c r="BG165" s="9"/>
      <c r="BH165" s="205"/>
      <c r="CH165" s="37"/>
      <c r="CI165" s="30"/>
      <c r="CJ165" s="210"/>
      <c r="CK165" s="210"/>
      <c r="CL165" s="210"/>
      <c r="CM165" s="210"/>
      <c r="CN165" s="211"/>
      <c r="CO165" s="212"/>
      <c r="CP165" s="9"/>
    </row>
    <row r="166" spans="40:94" ht="12.75" customHeight="1" hidden="1">
      <c r="AN166" s="5">
        <v>164</v>
      </c>
      <c r="AO166" s="213" t="s">
        <v>360</v>
      </c>
      <c r="AP166" s="96">
        <v>6</v>
      </c>
      <c r="AQ166" s="96">
        <v>3</v>
      </c>
      <c r="AR166" s="96">
        <v>3</v>
      </c>
      <c r="AS166" s="96">
        <v>7</v>
      </c>
      <c r="AT166" s="214" t="s">
        <v>53</v>
      </c>
      <c r="AU166" s="97">
        <v>50000</v>
      </c>
      <c r="AV166" s="97" t="s">
        <v>26</v>
      </c>
      <c r="AW166" s="97" t="s">
        <v>27</v>
      </c>
      <c r="AX166" s="97">
        <v>11</v>
      </c>
      <c r="AY166" s="215" t="s">
        <v>28</v>
      </c>
      <c r="AZ166" s="205"/>
      <c r="BB166" s="9"/>
      <c r="BC166" s="9"/>
      <c r="BD166" s="205"/>
      <c r="BE166" s="9"/>
      <c r="BF166" s="206"/>
      <c r="BG166" s="9"/>
      <c r="BH166" s="205"/>
      <c r="CI166" s="213"/>
      <c r="CJ166" s="96"/>
      <c r="CK166" s="96"/>
      <c r="CL166" s="96"/>
      <c r="CM166" s="96"/>
      <c r="CN166" s="214"/>
      <c r="CO166" s="97"/>
      <c r="CP166" s="215"/>
    </row>
    <row r="167" spans="40:94" ht="12.75" customHeight="1" hidden="1">
      <c r="AN167" s="5">
        <v>165</v>
      </c>
      <c r="AO167" s="216" t="s">
        <v>361</v>
      </c>
      <c r="AP167" s="31">
        <v>6</v>
      </c>
      <c r="AQ167" s="31">
        <v>3</v>
      </c>
      <c r="AR167" s="31">
        <v>3</v>
      </c>
      <c r="AS167" s="31">
        <v>8</v>
      </c>
      <c r="AT167" s="32" t="s">
        <v>231</v>
      </c>
      <c r="AU167" s="33">
        <v>60000</v>
      </c>
      <c r="AV167" s="33" t="s">
        <v>208</v>
      </c>
      <c r="AW167" s="33" t="s">
        <v>161</v>
      </c>
      <c r="AX167" s="99">
        <v>11</v>
      </c>
      <c r="AY167" s="217" t="s">
        <v>29</v>
      </c>
      <c r="AZ167" s="205"/>
      <c r="BB167" s="9"/>
      <c r="BC167" s="9"/>
      <c r="BD167" s="205"/>
      <c r="BE167" s="9"/>
      <c r="BF167" s="206"/>
      <c r="BG167" s="9"/>
      <c r="BH167" s="205"/>
      <c r="CI167" s="216"/>
      <c r="CJ167" s="31"/>
      <c r="CK167" s="31"/>
      <c r="CL167" s="31"/>
      <c r="CM167" s="31"/>
      <c r="CN167" s="32"/>
      <c r="CO167" s="33"/>
      <c r="CP167" s="217"/>
    </row>
    <row r="168" spans="40:94" ht="12.75" customHeight="1" hidden="1">
      <c r="AN168" s="5">
        <v>166</v>
      </c>
      <c r="AO168" s="216" t="s">
        <v>362</v>
      </c>
      <c r="AP168" s="98">
        <v>6</v>
      </c>
      <c r="AQ168" s="98">
        <v>3</v>
      </c>
      <c r="AR168" s="98">
        <v>3</v>
      </c>
      <c r="AS168" s="98">
        <v>7</v>
      </c>
      <c r="AT168" s="32" t="s">
        <v>268</v>
      </c>
      <c r="AU168" s="99">
        <v>40000</v>
      </c>
      <c r="AV168" s="99" t="s">
        <v>26</v>
      </c>
      <c r="AW168" s="99" t="s">
        <v>27</v>
      </c>
      <c r="AX168" s="99">
        <v>11</v>
      </c>
      <c r="AY168" s="217" t="s">
        <v>30</v>
      </c>
      <c r="AZ168" s="205"/>
      <c r="BB168" s="9"/>
      <c r="BC168" s="9"/>
      <c r="BD168" s="205"/>
      <c r="BE168" s="9"/>
      <c r="BF168" s="206"/>
      <c r="BG168" s="9"/>
      <c r="BH168" s="205"/>
      <c r="CI168" s="216"/>
      <c r="CJ168" s="98"/>
      <c r="CK168" s="98"/>
      <c r="CL168" s="98"/>
      <c r="CM168" s="98"/>
      <c r="CN168" s="32"/>
      <c r="CO168" s="99"/>
      <c r="CP168" s="217"/>
    </row>
    <row r="169" spans="40:94" ht="12.75" customHeight="1" hidden="1">
      <c r="AN169" s="5">
        <v>167</v>
      </c>
      <c r="AO169" s="208" t="s">
        <v>405</v>
      </c>
      <c r="AP169" s="31">
        <v>6</v>
      </c>
      <c r="AQ169" s="31">
        <v>3</v>
      </c>
      <c r="AR169" s="31">
        <v>3</v>
      </c>
      <c r="AS169" s="31">
        <v>8</v>
      </c>
      <c r="AT169" s="32" t="s">
        <v>268</v>
      </c>
      <c r="AU169" s="33">
        <v>50000</v>
      </c>
      <c r="AV169" s="33" t="s">
        <v>358</v>
      </c>
      <c r="AW169" s="33" t="s">
        <v>359</v>
      </c>
      <c r="AX169" s="99">
        <v>11</v>
      </c>
      <c r="AY169" s="217" t="s">
        <v>31</v>
      </c>
      <c r="AZ169" s="205"/>
      <c r="BB169" s="9"/>
      <c r="BC169" s="9"/>
      <c r="BD169" s="205"/>
      <c r="BE169" s="9"/>
      <c r="BF169" s="206"/>
      <c r="BG169" s="9"/>
      <c r="BH169" s="205"/>
      <c r="CI169" s="208"/>
      <c r="CJ169" s="31"/>
      <c r="CK169" s="31"/>
      <c r="CL169" s="31"/>
      <c r="CM169" s="31"/>
      <c r="CN169" s="32"/>
      <c r="CO169" s="33"/>
      <c r="CP169" s="217"/>
    </row>
    <row r="170" spans="40:94" ht="12.75" customHeight="1" hidden="1">
      <c r="AN170" s="5">
        <v>168</v>
      </c>
      <c r="AO170" s="208" t="s">
        <v>379</v>
      </c>
      <c r="AP170" s="31">
        <v>6</v>
      </c>
      <c r="AQ170" s="31">
        <v>3</v>
      </c>
      <c r="AR170" s="31">
        <v>4</v>
      </c>
      <c r="AS170" s="31">
        <v>8</v>
      </c>
      <c r="AT170" s="32" t="s">
        <v>268</v>
      </c>
      <c r="AU170" s="33">
        <v>70000</v>
      </c>
      <c r="AV170" s="33" t="s">
        <v>108</v>
      </c>
      <c r="AW170" s="33" t="s">
        <v>109</v>
      </c>
      <c r="AX170" s="99">
        <v>11</v>
      </c>
      <c r="AY170" s="217" t="s">
        <v>32</v>
      </c>
      <c r="AZ170" s="205"/>
      <c r="BB170" s="9"/>
      <c r="BC170" s="9"/>
      <c r="BD170" s="205"/>
      <c r="BE170" s="9"/>
      <c r="BF170" s="206"/>
      <c r="BG170" s="9"/>
      <c r="BH170" s="205"/>
      <c r="CI170" s="208"/>
      <c r="CJ170" s="31"/>
      <c r="CK170" s="31"/>
      <c r="CL170" s="31"/>
      <c r="CM170" s="31"/>
      <c r="CN170" s="32"/>
      <c r="CO170" s="33"/>
      <c r="CP170" s="217"/>
    </row>
    <row r="171" spans="40:94" ht="12.75" customHeight="1" hidden="1">
      <c r="AN171" s="5">
        <v>169</v>
      </c>
      <c r="AO171" s="216" t="s">
        <v>380</v>
      </c>
      <c r="AP171" s="31">
        <v>4</v>
      </c>
      <c r="AQ171" s="31">
        <v>3</v>
      </c>
      <c r="AR171" s="31">
        <v>2</v>
      </c>
      <c r="AS171" s="31">
        <v>9</v>
      </c>
      <c r="AT171" s="32" t="s">
        <v>330</v>
      </c>
      <c r="AU171" s="99">
        <v>70000</v>
      </c>
      <c r="AV171" s="99" t="s">
        <v>160</v>
      </c>
      <c r="AW171" s="99" t="s">
        <v>161</v>
      </c>
      <c r="AX171" s="99">
        <v>11</v>
      </c>
      <c r="AY171" s="217" t="s">
        <v>33</v>
      </c>
      <c r="AZ171" s="205"/>
      <c r="BB171" s="9"/>
      <c r="BC171" s="9"/>
      <c r="BD171" s="205"/>
      <c r="BE171" s="9"/>
      <c r="BF171" s="206"/>
      <c r="BG171" s="9"/>
      <c r="BH171" s="205"/>
      <c r="CI171" s="216"/>
      <c r="CJ171" s="31"/>
      <c r="CK171" s="31"/>
      <c r="CL171" s="31"/>
      <c r="CM171" s="31"/>
      <c r="CN171" s="32"/>
      <c r="CO171" s="99"/>
      <c r="CP171" s="217"/>
    </row>
    <row r="172" spans="40:94" ht="12.75" customHeight="1" hidden="1">
      <c r="AN172" s="5">
        <v>170</v>
      </c>
      <c r="AO172" s="208" t="s">
        <v>363</v>
      </c>
      <c r="AP172" s="31">
        <v>6</v>
      </c>
      <c r="AQ172" s="31">
        <v>3</v>
      </c>
      <c r="AR172" s="31">
        <v>4</v>
      </c>
      <c r="AS172" s="31">
        <v>7</v>
      </c>
      <c r="AT172" s="32" t="s">
        <v>268</v>
      </c>
      <c r="AU172" s="33">
        <v>60000</v>
      </c>
      <c r="AV172" s="33" t="s">
        <v>108</v>
      </c>
      <c r="AW172" s="33" t="s">
        <v>109</v>
      </c>
      <c r="AX172" s="99">
        <v>11</v>
      </c>
      <c r="AY172" s="217" t="s">
        <v>34</v>
      </c>
      <c r="AZ172" s="205"/>
      <c r="BB172" s="9"/>
      <c r="BC172" s="9"/>
      <c r="BD172" s="205"/>
      <c r="BE172" s="9"/>
      <c r="BF172" s="206"/>
      <c r="BG172" s="9"/>
      <c r="BH172" s="205"/>
      <c r="CI172" s="208"/>
      <c r="CJ172" s="31"/>
      <c r="CK172" s="31"/>
      <c r="CL172" s="31"/>
      <c r="CM172" s="31"/>
      <c r="CN172" s="32"/>
      <c r="CO172" s="33"/>
      <c r="CP172" s="217"/>
    </row>
    <row r="173" spans="40:94" ht="12.75" customHeight="1" hidden="1">
      <c r="AN173" s="5">
        <v>171</v>
      </c>
      <c r="AO173" s="208" t="s">
        <v>397</v>
      </c>
      <c r="AP173" s="31">
        <v>6</v>
      </c>
      <c r="AQ173" s="31">
        <v>2</v>
      </c>
      <c r="AR173" s="31">
        <v>3</v>
      </c>
      <c r="AS173" s="31">
        <v>7</v>
      </c>
      <c r="AT173" s="32" t="s">
        <v>476</v>
      </c>
      <c r="AU173" s="33">
        <v>40000</v>
      </c>
      <c r="AV173" s="33" t="s">
        <v>359</v>
      </c>
      <c r="AW173" s="33" t="s">
        <v>375</v>
      </c>
      <c r="AX173" s="99">
        <v>11</v>
      </c>
      <c r="AY173" s="217" t="s">
        <v>35</v>
      </c>
      <c r="AZ173" s="205"/>
      <c r="BB173" s="9"/>
      <c r="BC173" s="9"/>
      <c r="BD173" s="205"/>
      <c r="BE173" s="9"/>
      <c r="BF173" s="206"/>
      <c r="BG173" s="9"/>
      <c r="BH173" s="205"/>
      <c r="CI173" s="208"/>
      <c r="CJ173" s="31"/>
      <c r="CK173" s="31"/>
      <c r="CL173" s="31"/>
      <c r="CM173" s="31"/>
      <c r="CN173" s="32"/>
      <c r="CO173" s="33"/>
      <c r="CP173" s="217"/>
    </row>
    <row r="174" spans="40:94" ht="12.75" customHeight="1" hidden="1">
      <c r="AN174" s="5">
        <v>172</v>
      </c>
      <c r="AO174" s="216" t="s">
        <v>337</v>
      </c>
      <c r="AP174" s="31">
        <v>5</v>
      </c>
      <c r="AQ174" s="31">
        <v>2</v>
      </c>
      <c r="AR174" s="31">
        <v>3</v>
      </c>
      <c r="AS174" s="31">
        <v>6</v>
      </c>
      <c r="AT174" s="32" t="s">
        <v>476</v>
      </c>
      <c r="AU174" s="33">
        <v>30000</v>
      </c>
      <c r="AV174" s="33" t="s">
        <v>359</v>
      </c>
      <c r="AW174" s="33" t="s">
        <v>375</v>
      </c>
      <c r="AX174" s="99">
        <v>11</v>
      </c>
      <c r="AY174" s="217" t="s">
        <v>36</v>
      </c>
      <c r="AZ174" s="205"/>
      <c r="BB174" s="9"/>
      <c r="BC174" s="9"/>
      <c r="BD174" s="205"/>
      <c r="BE174" s="9"/>
      <c r="BF174" s="206"/>
      <c r="BG174" s="9"/>
      <c r="BH174" s="205"/>
      <c r="CI174" s="216"/>
      <c r="CJ174" s="31"/>
      <c r="CK174" s="31"/>
      <c r="CL174" s="31"/>
      <c r="CM174" s="31"/>
      <c r="CN174" s="32"/>
      <c r="CO174" s="33"/>
      <c r="CP174" s="217"/>
    </row>
    <row r="175" spans="40:94" ht="12.75" customHeight="1" hidden="1">
      <c r="AN175" s="5">
        <v>173</v>
      </c>
      <c r="AO175" s="208" t="s">
        <v>364</v>
      </c>
      <c r="AP175" s="31">
        <v>6</v>
      </c>
      <c r="AQ175" s="31">
        <v>3</v>
      </c>
      <c r="AR175" s="31">
        <v>4</v>
      </c>
      <c r="AS175" s="31">
        <v>8</v>
      </c>
      <c r="AT175" s="32" t="s">
        <v>268</v>
      </c>
      <c r="AU175" s="33">
        <v>70000</v>
      </c>
      <c r="AV175" s="33" t="s">
        <v>108</v>
      </c>
      <c r="AW175" s="33" t="s">
        <v>109</v>
      </c>
      <c r="AX175" s="99">
        <v>11</v>
      </c>
      <c r="AY175" s="217" t="s">
        <v>37</v>
      </c>
      <c r="AZ175" s="205"/>
      <c r="BB175" s="9"/>
      <c r="BC175" s="9"/>
      <c r="BD175" s="205"/>
      <c r="BE175" s="9"/>
      <c r="BF175" s="206"/>
      <c r="BG175" s="9"/>
      <c r="BH175" s="205"/>
      <c r="CI175" s="208"/>
      <c r="CJ175" s="31"/>
      <c r="CK175" s="31"/>
      <c r="CL175" s="31"/>
      <c r="CM175" s="31"/>
      <c r="CN175" s="32"/>
      <c r="CO175" s="33"/>
      <c r="CP175" s="217"/>
    </row>
    <row r="176" spans="40:94" ht="12.75" customHeight="1" hidden="1">
      <c r="AN176" s="5">
        <v>174</v>
      </c>
      <c r="AO176" s="208" t="s">
        <v>382</v>
      </c>
      <c r="AP176" s="98">
        <v>6</v>
      </c>
      <c r="AQ176" s="98">
        <v>3</v>
      </c>
      <c r="AR176" s="98">
        <v>3</v>
      </c>
      <c r="AS176" s="98">
        <v>8</v>
      </c>
      <c r="AT176" s="32" t="s">
        <v>268</v>
      </c>
      <c r="AU176" s="99">
        <v>50000</v>
      </c>
      <c r="AV176" s="99" t="s">
        <v>26</v>
      </c>
      <c r="AW176" s="99" t="s">
        <v>27</v>
      </c>
      <c r="AX176" s="99">
        <v>11</v>
      </c>
      <c r="AY176" s="217" t="s">
        <v>38</v>
      </c>
      <c r="AZ176" s="205"/>
      <c r="BB176" s="9"/>
      <c r="BC176" s="9"/>
      <c r="BD176" s="205"/>
      <c r="BE176" s="9"/>
      <c r="BF176" s="206"/>
      <c r="BG176" s="9"/>
      <c r="BH176" s="205"/>
      <c r="CI176" s="208"/>
      <c r="CJ176" s="98"/>
      <c r="CK176" s="98"/>
      <c r="CL176" s="98"/>
      <c r="CM176" s="98"/>
      <c r="CN176" s="32"/>
      <c r="CO176" s="99"/>
      <c r="CP176" s="217"/>
    </row>
    <row r="177" spans="40:94" ht="12.75" customHeight="1" hidden="1">
      <c r="AN177" s="5">
        <v>175</v>
      </c>
      <c r="AO177" s="208" t="s">
        <v>365</v>
      </c>
      <c r="AP177" s="31">
        <v>5</v>
      </c>
      <c r="AQ177" s="31">
        <v>3</v>
      </c>
      <c r="AR177" s="31">
        <v>2</v>
      </c>
      <c r="AS177" s="31">
        <v>7</v>
      </c>
      <c r="AT177" s="32" t="s">
        <v>560</v>
      </c>
      <c r="AU177" s="33">
        <v>40000</v>
      </c>
      <c r="AV177" s="33" t="s">
        <v>26</v>
      </c>
      <c r="AW177" s="33" t="s">
        <v>27</v>
      </c>
      <c r="AX177" s="99">
        <v>11</v>
      </c>
      <c r="AY177" s="217" t="s">
        <v>39</v>
      </c>
      <c r="AZ177" s="205"/>
      <c r="BB177" s="9"/>
      <c r="BC177" s="9"/>
      <c r="BD177" s="205"/>
      <c r="BE177" s="9"/>
      <c r="BF177" s="206"/>
      <c r="BG177" s="9"/>
      <c r="BH177" s="205"/>
      <c r="CI177" s="208"/>
      <c r="CJ177" s="31"/>
      <c r="CK177" s="31"/>
      <c r="CL177" s="31"/>
      <c r="CM177" s="31"/>
      <c r="CN177" s="32"/>
      <c r="CO177" s="33"/>
      <c r="CP177" s="217"/>
    </row>
    <row r="178" spans="40:94" ht="12.75" customHeight="1" hidden="1">
      <c r="AN178" s="5">
        <v>176</v>
      </c>
      <c r="AO178" s="208" t="s">
        <v>354</v>
      </c>
      <c r="AP178" s="98">
        <v>8</v>
      </c>
      <c r="AQ178" s="98">
        <v>2</v>
      </c>
      <c r="AR178" s="98">
        <v>3</v>
      </c>
      <c r="AS178" s="98">
        <v>7</v>
      </c>
      <c r="AT178" s="32" t="s">
        <v>576</v>
      </c>
      <c r="AU178" s="99">
        <v>60000</v>
      </c>
      <c r="AV178" s="99" t="s">
        <v>359</v>
      </c>
      <c r="AW178" s="99" t="s">
        <v>375</v>
      </c>
      <c r="AX178" s="99">
        <v>11</v>
      </c>
      <c r="AY178" s="217" t="s">
        <v>40</v>
      </c>
      <c r="AZ178" s="205"/>
      <c r="BB178" s="9"/>
      <c r="BC178" s="9"/>
      <c r="BD178" s="205"/>
      <c r="BE178" s="9"/>
      <c r="BF178" s="206"/>
      <c r="BG178" s="9"/>
      <c r="BH178" s="205"/>
      <c r="CI178" s="208"/>
      <c r="CJ178" s="98"/>
      <c r="CK178" s="98"/>
      <c r="CL178" s="98"/>
      <c r="CM178" s="98"/>
      <c r="CN178" s="32"/>
      <c r="CO178" s="99"/>
      <c r="CP178" s="217"/>
    </row>
    <row r="179" spans="40:94" ht="12.75" customHeight="1" hidden="1">
      <c r="AN179" s="5">
        <v>177</v>
      </c>
      <c r="AO179" s="208" t="s">
        <v>383</v>
      </c>
      <c r="AP179" s="98">
        <v>4</v>
      </c>
      <c r="AQ179" s="98">
        <v>3</v>
      </c>
      <c r="AR179" s="98">
        <v>2</v>
      </c>
      <c r="AS179" s="98">
        <v>8</v>
      </c>
      <c r="AT179" s="32" t="s">
        <v>582</v>
      </c>
      <c r="AU179" s="99">
        <v>40000</v>
      </c>
      <c r="AV179" s="99" t="s">
        <v>26</v>
      </c>
      <c r="AW179" s="99" t="s">
        <v>27</v>
      </c>
      <c r="AX179" s="99">
        <v>11</v>
      </c>
      <c r="AY179" s="217" t="s">
        <v>41</v>
      </c>
      <c r="AZ179" s="205"/>
      <c r="BB179" s="9"/>
      <c r="BC179" s="9"/>
      <c r="BD179" s="205"/>
      <c r="BE179" s="9"/>
      <c r="BF179" s="206"/>
      <c r="BG179" s="9"/>
      <c r="BH179" s="205"/>
      <c r="CI179" s="208"/>
      <c r="CJ179" s="98"/>
      <c r="CK179" s="98"/>
      <c r="CL179" s="98"/>
      <c r="CM179" s="98"/>
      <c r="CN179" s="32"/>
      <c r="CO179" s="99"/>
      <c r="CP179" s="217"/>
    </row>
    <row r="180" spans="40:94" ht="12.75" customHeight="1" hidden="1">
      <c r="AN180" s="5">
        <v>178</v>
      </c>
      <c r="AO180" s="216" t="s">
        <v>399</v>
      </c>
      <c r="AP180" s="98">
        <v>6</v>
      </c>
      <c r="AQ180" s="98">
        <v>3</v>
      </c>
      <c r="AR180" s="98">
        <v>3</v>
      </c>
      <c r="AS180" s="98">
        <v>7</v>
      </c>
      <c r="AT180" s="32" t="s">
        <v>445</v>
      </c>
      <c r="AU180" s="99">
        <v>50000</v>
      </c>
      <c r="AV180" s="99" t="s">
        <v>26</v>
      </c>
      <c r="AW180" s="99" t="s">
        <v>27</v>
      </c>
      <c r="AX180" s="99">
        <v>11</v>
      </c>
      <c r="AY180" s="217" t="s">
        <v>42</v>
      </c>
      <c r="AZ180" s="205"/>
      <c r="BB180" s="9"/>
      <c r="BC180" s="9"/>
      <c r="BD180" s="205"/>
      <c r="BE180" s="9"/>
      <c r="BF180" s="206"/>
      <c r="BG180" s="9"/>
      <c r="BH180" s="205"/>
      <c r="CI180" s="216"/>
      <c r="CJ180" s="98"/>
      <c r="CK180" s="98"/>
      <c r="CL180" s="98"/>
      <c r="CM180" s="98"/>
      <c r="CN180" s="32"/>
      <c r="CO180" s="99"/>
      <c r="CP180" s="217"/>
    </row>
    <row r="181" spans="40:94" ht="12.75" customHeight="1" hidden="1">
      <c r="AN181" s="5">
        <v>179</v>
      </c>
      <c r="AO181" s="208" t="s">
        <v>384</v>
      </c>
      <c r="AP181" s="98">
        <v>5</v>
      </c>
      <c r="AQ181" s="98">
        <v>3</v>
      </c>
      <c r="AR181" s="98">
        <v>3</v>
      </c>
      <c r="AS181" s="98">
        <v>8</v>
      </c>
      <c r="AT181" s="32" t="s">
        <v>604</v>
      </c>
      <c r="AU181" s="99">
        <v>40000</v>
      </c>
      <c r="AV181" s="99" t="s">
        <v>392</v>
      </c>
      <c r="AW181" s="99" t="s">
        <v>27</v>
      </c>
      <c r="AX181" s="99">
        <v>11</v>
      </c>
      <c r="AY181" s="217" t="s">
        <v>43</v>
      </c>
      <c r="BB181" s="9"/>
      <c r="CI181" s="208"/>
      <c r="CJ181" s="98"/>
      <c r="CK181" s="98"/>
      <c r="CL181" s="98"/>
      <c r="CM181" s="98"/>
      <c r="CN181" s="32"/>
      <c r="CO181" s="99"/>
      <c r="CP181" s="217"/>
    </row>
    <row r="182" spans="40:94" ht="12.75" customHeight="1" hidden="1">
      <c r="AN182" s="5">
        <v>180</v>
      </c>
      <c r="AO182" s="208" t="s">
        <v>355</v>
      </c>
      <c r="AP182" s="98">
        <v>5</v>
      </c>
      <c r="AQ182" s="98">
        <v>1</v>
      </c>
      <c r="AR182" s="98">
        <v>3</v>
      </c>
      <c r="AS182" s="98">
        <v>5</v>
      </c>
      <c r="AT182" s="32" t="s">
        <v>611</v>
      </c>
      <c r="AU182" s="99">
        <v>20000</v>
      </c>
      <c r="AV182" s="99" t="s">
        <v>359</v>
      </c>
      <c r="AW182" s="99" t="s">
        <v>375</v>
      </c>
      <c r="AX182" s="99">
        <v>11</v>
      </c>
      <c r="AY182" s="217" t="s">
        <v>44</v>
      </c>
      <c r="BB182" s="9"/>
      <c r="CI182" s="208"/>
      <c r="CJ182" s="98"/>
      <c r="CK182" s="98"/>
      <c r="CL182" s="98"/>
      <c r="CM182" s="98"/>
      <c r="CN182" s="32"/>
      <c r="CO182" s="99"/>
      <c r="CP182" s="217"/>
    </row>
    <row r="183" spans="40:94" ht="12.75" customHeight="1" hidden="1">
      <c r="AN183" s="5">
        <v>181</v>
      </c>
      <c r="AO183" s="208" t="s">
        <v>400</v>
      </c>
      <c r="AP183" s="98">
        <v>5</v>
      </c>
      <c r="AQ183" s="98">
        <v>3</v>
      </c>
      <c r="AR183" s="98">
        <v>3</v>
      </c>
      <c r="AS183" s="98">
        <v>9</v>
      </c>
      <c r="AT183" s="32" t="s">
        <v>268</v>
      </c>
      <c r="AU183" s="99">
        <v>50000</v>
      </c>
      <c r="AV183" s="99" t="s">
        <v>26</v>
      </c>
      <c r="AW183" s="99" t="s">
        <v>27</v>
      </c>
      <c r="AX183" s="99">
        <v>11</v>
      </c>
      <c r="AY183" s="217" t="s">
        <v>45</v>
      </c>
      <c r="BB183" s="9"/>
      <c r="CI183" s="208"/>
      <c r="CJ183" s="98"/>
      <c r="CK183" s="98"/>
      <c r="CL183" s="98"/>
      <c r="CM183" s="98"/>
      <c r="CN183" s="32"/>
      <c r="CO183" s="99"/>
      <c r="CP183" s="217"/>
    </row>
    <row r="184" spans="40:94" ht="12.75" customHeight="1" hidden="1">
      <c r="AN184" s="5">
        <v>182</v>
      </c>
      <c r="AO184" s="208" t="s">
        <v>386</v>
      </c>
      <c r="AP184" s="98">
        <v>7</v>
      </c>
      <c r="AQ184" s="98">
        <v>3</v>
      </c>
      <c r="AR184" s="98">
        <v>3</v>
      </c>
      <c r="AS184" s="98">
        <v>7</v>
      </c>
      <c r="AT184" s="32" t="s">
        <v>268</v>
      </c>
      <c r="AU184" s="99">
        <v>50000</v>
      </c>
      <c r="AV184" s="99" t="s">
        <v>26</v>
      </c>
      <c r="AW184" s="99" t="s">
        <v>615</v>
      </c>
      <c r="AX184" s="99">
        <v>11</v>
      </c>
      <c r="AY184" s="217" t="s">
        <v>46</v>
      </c>
      <c r="CI184" s="208"/>
      <c r="CJ184" s="98"/>
      <c r="CK184" s="98"/>
      <c r="CL184" s="98"/>
      <c r="CM184" s="98"/>
      <c r="CN184" s="32"/>
      <c r="CO184" s="99"/>
      <c r="CP184" s="217"/>
    </row>
    <row r="185" spans="40:94" ht="12.75" customHeight="1" hidden="1">
      <c r="AN185" s="5">
        <v>183</v>
      </c>
      <c r="AO185" s="208" t="s">
        <v>370</v>
      </c>
      <c r="AP185" s="98">
        <v>6</v>
      </c>
      <c r="AQ185" s="98">
        <v>3</v>
      </c>
      <c r="AR185" s="98">
        <v>3</v>
      </c>
      <c r="AS185" s="98">
        <v>8</v>
      </c>
      <c r="AT185" s="32" t="s">
        <v>622</v>
      </c>
      <c r="AU185" s="99">
        <v>60000</v>
      </c>
      <c r="AV185" s="99" t="s">
        <v>26</v>
      </c>
      <c r="AW185" s="99" t="s">
        <v>27</v>
      </c>
      <c r="AX185" s="99">
        <v>11</v>
      </c>
      <c r="AY185" s="217" t="s">
        <v>47</v>
      </c>
      <c r="CI185" s="208"/>
      <c r="CJ185" s="98"/>
      <c r="CK185" s="98"/>
      <c r="CL185" s="98"/>
      <c r="CM185" s="98"/>
      <c r="CN185" s="32"/>
      <c r="CO185" s="99"/>
      <c r="CP185" s="217"/>
    </row>
    <row r="186" spans="40:94" ht="12.75" customHeight="1" hidden="1">
      <c r="AN186" s="5">
        <v>184</v>
      </c>
      <c r="AO186" s="208" t="s">
        <v>387</v>
      </c>
      <c r="AP186" s="31">
        <v>5</v>
      </c>
      <c r="AQ186" s="31">
        <v>3</v>
      </c>
      <c r="AR186" s="31">
        <v>2</v>
      </c>
      <c r="AS186" s="31">
        <v>7</v>
      </c>
      <c r="AT186" s="32" t="s">
        <v>560</v>
      </c>
      <c r="AU186" s="33">
        <v>40000</v>
      </c>
      <c r="AV186" s="33" t="s">
        <v>26</v>
      </c>
      <c r="AW186" s="33" t="s">
        <v>27</v>
      </c>
      <c r="AX186" s="99">
        <v>11</v>
      </c>
      <c r="AY186" s="217" t="s">
        <v>48</v>
      </c>
      <c r="CI186" s="208"/>
      <c r="CJ186" s="31"/>
      <c r="CK186" s="31"/>
      <c r="CL186" s="31"/>
      <c r="CM186" s="31"/>
      <c r="CN186" s="32"/>
      <c r="CO186" s="33"/>
      <c r="CP186" s="217"/>
    </row>
    <row r="187" spans="40:94" ht="12.75" customHeight="1" hidden="1">
      <c r="AN187" s="5">
        <v>185</v>
      </c>
      <c r="AO187" s="208" t="s">
        <v>402</v>
      </c>
      <c r="AP187" s="31">
        <v>4</v>
      </c>
      <c r="AQ187" s="31">
        <v>3</v>
      </c>
      <c r="AR187" s="31">
        <v>2</v>
      </c>
      <c r="AS187" s="31">
        <v>8</v>
      </c>
      <c r="AT187" s="32" t="s">
        <v>582</v>
      </c>
      <c r="AU187" s="33">
        <v>40000</v>
      </c>
      <c r="AV187" s="33" t="s">
        <v>26</v>
      </c>
      <c r="AW187" s="33" t="s">
        <v>27</v>
      </c>
      <c r="AX187" s="99">
        <v>11</v>
      </c>
      <c r="AY187" s="217" t="s">
        <v>48</v>
      </c>
      <c r="CI187" s="208"/>
      <c r="CJ187" s="31"/>
      <c r="CK187" s="31"/>
      <c r="CL187" s="31"/>
      <c r="CM187" s="31"/>
      <c r="CN187" s="32"/>
      <c r="CO187" s="33"/>
      <c r="CP187" s="217"/>
    </row>
    <row r="188" spans="40:94" ht="12.75" customHeight="1" hidden="1">
      <c r="AN188" s="5">
        <v>186</v>
      </c>
      <c r="AO188" s="208" t="s">
        <v>388</v>
      </c>
      <c r="AP188" s="98">
        <v>6</v>
      </c>
      <c r="AQ188" s="98">
        <v>2</v>
      </c>
      <c r="AR188" s="98">
        <v>3</v>
      </c>
      <c r="AS188" s="98">
        <v>7</v>
      </c>
      <c r="AT188" s="32" t="s">
        <v>614</v>
      </c>
      <c r="AU188" s="99">
        <v>40000</v>
      </c>
      <c r="AV188" s="99" t="s">
        <v>374</v>
      </c>
      <c r="AW188" s="99" t="s">
        <v>375</v>
      </c>
      <c r="AX188" s="99">
        <v>11</v>
      </c>
      <c r="AY188" s="217" t="s">
        <v>49</v>
      </c>
      <c r="CI188" s="208"/>
      <c r="CJ188" s="98"/>
      <c r="CK188" s="98"/>
      <c r="CL188" s="98"/>
      <c r="CM188" s="98"/>
      <c r="CN188" s="32"/>
      <c r="CO188" s="99"/>
      <c r="CP188" s="217"/>
    </row>
    <row r="189" spans="40:94" ht="12.75" customHeight="1" hidden="1">
      <c r="AN189" s="5">
        <v>187</v>
      </c>
      <c r="AO189" s="208" t="s">
        <v>345</v>
      </c>
      <c r="AP189" s="98">
        <v>6</v>
      </c>
      <c r="AQ189" s="98">
        <v>3</v>
      </c>
      <c r="AR189" s="98">
        <v>3</v>
      </c>
      <c r="AS189" s="98">
        <v>7</v>
      </c>
      <c r="AT189" s="32" t="s">
        <v>268</v>
      </c>
      <c r="AU189" s="99">
        <v>40000</v>
      </c>
      <c r="AV189" s="99" t="s">
        <v>26</v>
      </c>
      <c r="AW189" s="99" t="s">
        <v>27</v>
      </c>
      <c r="AX189" s="99">
        <v>11</v>
      </c>
      <c r="AY189" s="217" t="s">
        <v>50</v>
      </c>
      <c r="CI189" s="208"/>
      <c r="CJ189" s="98"/>
      <c r="CK189" s="98"/>
      <c r="CL189" s="98"/>
      <c r="CM189" s="98"/>
      <c r="CN189" s="32"/>
      <c r="CO189" s="99"/>
      <c r="CP189" s="217"/>
    </row>
    <row r="190" spans="40:94" ht="12.75" customHeight="1" hidden="1">
      <c r="AN190" s="5">
        <v>188</v>
      </c>
      <c r="AO190" s="218" t="s">
        <v>389</v>
      </c>
      <c r="AP190" s="87">
        <v>7</v>
      </c>
      <c r="AQ190" s="87">
        <v>3</v>
      </c>
      <c r="AR190" s="87">
        <v>4</v>
      </c>
      <c r="AS190" s="87">
        <v>7</v>
      </c>
      <c r="AT190" s="88" t="s">
        <v>268</v>
      </c>
      <c r="AU190" s="89">
        <v>70000</v>
      </c>
      <c r="AV190" s="89" t="s">
        <v>108</v>
      </c>
      <c r="AW190" s="89" t="s">
        <v>109</v>
      </c>
      <c r="AX190" s="170">
        <v>11</v>
      </c>
      <c r="AY190" s="219" t="s">
        <v>51</v>
      </c>
      <c r="CI190" s="218"/>
      <c r="CJ190" s="87"/>
      <c r="CK190" s="87"/>
      <c r="CL190" s="87"/>
      <c r="CM190" s="87"/>
      <c r="CN190" s="88"/>
      <c r="CO190" s="89"/>
      <c r="CP190" s="219"/>
    </row>
    <row r="191" spans="40:94" ht="12.75" customHeight="1" hidden="1">
      <c r="AN191" s="5">
        <v>189</v>
      </c>
      <c r="AO191" s="6" t="s">
        <v>381</v>
      </c>
      <c r="AP191" s="7">
        <v>7</v>
      </c>
      <c r="AQ191" s="7">
        <v>3</v>
      </c>
      <c r="AR191" s="7">
        <v>4</v>
      </c>
      <c r="AS191" s="7">
        <v>9</v>
      </c>
      <c r="AT191" s="8" t="s">
        <v>726</v>
      </c>
      <c r="AU191" s="9">
        <v>250000</v>
      </c>
      <c r="AX191" s="9">
        <v>1</v>
      </c>
      <c r="AY191" s="9" t="s">
        <v>727</v>
      </c>
      <c r="CP191" s="9"/>
    </row>
    <row r="192" spans="40:94" ht="12.75" customHeight="1" hidden="1">
      <c r="AN192" s="5">
        <v>190</v>
      </c>
      <c r="AO192" s="6" t="s">
        <v>396</v>
      </c>
      <c r="AP192" s="7">
        <v>8</v>
      </c>
      <c r="AQ192" s="7">
        <v>3</v>
      </c>
      <c r="AR192" s="7">
        <v>4</v>
      </c>
      <c r="AS192" s="7">
        <v>7</v>
      </c>
      <c r="AT192" s="8" t="s">
        <v>728</v>
      </c>
      <c r="AU192" s="9">
        <v>220000</v>
      </c>
      <c r="AX192" s="9">
        <v>1</v>
      </c>
      <c r="AY192" s="9" t="s">
        <v>729</v>
      </c>
      <c r="CP192" s="9"/>
    </row>
    <row r="193" spans="40:94" ht="12.75" customHeight="1" hidden="1">
      <c r="AN193" s="5">
        <v>191</v>
      </c>
      <c r="AO193" s="6" t="s">
        <v>367</v>
      </c>
      <c r="AP193" s="7">
        <v>6</v>
      </c>
      <c r="AQ193" s="7">
        <v>2</v>
      </c>
      <c r="AR193" s="7">
        <v>4</v>
      </c>
      <c r="AS193" s="7">
        <v>7</v>
      </c>
      <c r="AT193" s="8" t="s">
        <v>730</v>
      </c>
      <c r="AU193" s="9">
        <v>210000</v>
      </c>
      <c r="AX193" s="9">
        <v>1</v>
      </c>
      <c r="AY193" s="9" t="s">
        <v>731</v>
      </c>
      <c r="CP193" s="9"/>
    </row>
    <row r="194" spans="40:94" ht="12.75" customHeight="1" hidden="1">
      <c r="AN194" s="5">
        <v>192</v>
      </c>
      <c r="AO194" s="6" t="s">
        <v>398</v>
      </c>
      <c r="AP194" s="7">
        <v>10</v>
      </c>
      <c r="AQ194" s="7">
        <v>3</v>
      </c>
      <c r="AR194" s="7">
        <v>5</v>
      </c>
      <c r="AS194" s="7">
        <v>7</v>
      </c>
      <c r="AT194" s="8" t="s">
        <v>732</v>
      </c>
      <c r="AU194" s="9">
        <v>340000</v>
      </c>
      <c r="AX194" s="9">
        <v>1</v>
      </c>
      <c r="AY194" s="9" t="s">
        <v>733</v>
      </c>
      <c r="CP194" s="9"/>
    </row>
    <row r="195" spans="40:94" ht="12.75" customHeight="1" hidden="1">
      <c r="AN195" s="5">
        <v>193</v>
      </c>
      <c r="AO195" s="6" t="s">
        <v>407</v>
      </c>
      <c r="AP195" s="7">
        <v>8</v>
      </c>
      <c r="AQ195" s="7">
        <v>3</v>
      </c>
      <c r="AR195" s="7">
        <v>5</v>
      </c>
      <c r="AS195" s="7">
        <v>7</v>
      </c>
      <c r="AT195" s="8" t="s">
        <v>734</v>
      </c>
      <c r="AU195" s="9">
        <v>340000</v>
      </c>
      <c r="AX195" s="9">
        <v>1</v>
      </c>
      <c r="AY195" s="9" t="s">
        <v>733</v>
      </c>
      <c r="CP195" s="9"/>
    </row>
    <row r="196" spans="40:94" ht="12.75" customHeight="1" hidden="1">
      <c r="AN196" s="5">
        <v>194</v>
      </c>
      <c r="AO196" s="6" t="s">
        <v>352</v>
      </c>
      <c r="AP196" s="7">
        <v>3</v>
      </c>
      <c r="AQ196" s="7">
        <v>6</v>
      </c>
      <c r="AR196" s="7">
        <v>1</v>
      </c>
      <c r="AS196" s="7">
        <v>10</v>
      </c>
      <c r="AT196" s="8" t="s">
        <v>735</v>
      </c>
      <c r="AU196" s="9">
        <v>310000</v>
      </c>
      <c r="AX196" s="9">
        <v>1</v>
      </c>
      <c r="AY196" s="9" t="s">
        <v>36</v>
      </c>
      <c r="CP196" s="9"/>
    </row>
    <row r="197" spans="40:94" ht="12.75" customHeight="1" hidden="1">
      <c r="AN197" s="5">
        <v>195</v>
      </c>
      <c r="AO197" s="6" t="s">
        <v>378</v>
      </c>
      <c r="AP197" s="7">
        <v>7</v>
      </c>
      <c r="AQ197" s="7">
        <v>3</v>
      </c>
      <c r="AR197" s="7">
        <v>3</v>
      </c>
      <c r="AS197" s="7">
        <v>7</v>
      </c>
      <c r="AT197" s="8" t="s">
        <v>736</v>
      </c>
      <c r="AU197" s="9">
        <v>210000</v>
      </c>
      <c r="AX197" s="9">
        <v>1</v>
      </c>
      <c r="AY197" s="9" t="s">
        <v>30</v>
      </c>
      <c r="CP197" s="9"/>
    </row>
    <row r="198" spans="40:94" ht="12.75" customHeight="1" hidden="1">
      <c r="AN198" s="5">
        <v>196</v>
      </c>
      <c r="AO198" s="6" t="s">
        <v>422</v>
      </c>
      <c r="AP198" s="7">
        <v>8</v>
      </c>
      <c r="AQ198" s="7">
        <v>3</v>
      </c>
      <c r="AR198" s="7">
        <v>4</v>
      </c>
      <c r="AS198" s="7">
        <v>7</v>
      </c>
      <c r="AT198" s="8" t="s">
        <v>737</v>
      </c>
      <c r="AU198" s="9">
        <v>300000</v>
      </c>
      <c r="AX198" s="9">
        <v>1</v>
      </c>
      <c r="AY198" s="9" t="s">
        <v>729</v>
      </c>
      <c r="CP198" s="9"/>
    </row>
    <row r="199" spans="40:94" ht="12.75" customHeight="1" hidden="1">
      <c r="AN199" s="5">
        <v>197</v>
      </c>
      <c r="AO199" s="6" t="s">
        <v>356</v>
      </c>
      <c r="AP199" s="7">
        <v>7</v>
      </c>
      <c r="AQ199" s="7">
        <v>3</v>
      </c>
      <c r="AR199" s="7">
        <v>3</v>
      </c>
      <c r="AS199" s="7">
        <v>7</v>
      </c>
      <c r="AT199" s="8" t="s">
        <v>738</v>
      </c>
      <c r="AU199" s="9">
        <v>220000</v>
      </c>
      <c r="AX199" s="9">
        <v>1</v>
      </c>
      <c r="AY199" s="9" t="s">
        <v>739</v>
      </c>
      <c r="CP199" s="9"/>
    </row>
    <row r="200" spans="40:94" ht="12.75" customHeight="1" hidden="1">
      <c r="AN200" s="5">
        <v>198</v>
      </c>
      <c r="AO200" s="6" t="s">
        <v>395</v>
      </c>
      <c r="AP200" s="7">
        <v>5</v>
      </c>
      <c r="AQ200" s="7">
        <v>4</v>
      </c>
      <c r="AR200" s="7">
        <v>2</v>
      </c>
      <c r="AS200" s="7">
        <v>8</v>
      </c>
      <c r="AT200" s="8" t="s">
        <v>740</v>
      </c>
      <c r="AU200" s="9">
        <v>220000</v>
      </c>
      <c r="AX200" s="9">
        <v>1</v>
      </c>
      <c r="AY200" s="9" t="s">
        <v>33</v>
      </c>
      <c r="CP200" s="9"/>
    </row>
    <row r="201" spans="40:94" ht="12.75" customHeight="1" hidden="1">
      <c r="AN201" s="5">
        <v>199</v>
      </c>
      <c r="AO201" s="6" t="s">
        <v>413</v>
      </c>
      <c r="AP201" s="7">
        <v>6</v>
      </c>
      <c r="AQ201" s="7">
        <v>4</v>
      </c>
      <c r="AR201" s="7">
        <v>4</v>
      </c>
      <c r="AS201" s="7">
        <v>9</v>
      </c>
      <c r="AT201" s="8" t="s">
        <v>741</v>
      </c>
      <c r="AU201" s="9">
        <v>310000</v>
      </c>
      <c r="AX201" s="9">
        <v>1</v>
      </c>
      <c r="AY201" s="9" t="s">
        <v>45</v>
      </c>
      <c r="CP201" s="9"/>
    </row>
    <row r="202" spans="40:94" ht="12.75" customHeight="1" hidden="1">
      <c r="AN202" s="5">
        <v>200</v>
      </c>
      <c r="AO202" s="6" t="s">
        <v>376</v>
      </c>
      <c r="AP202" s="7">
        <v>9</v>
      </c>
      <c r="AQ202" s="7">
        <v>2</v>
      </c>
      <c r="AR202" s="7">
        <v>3</v>
      </c>
      <c r="AS202" s="7">
        <v>7</v>
      </c>
      <c r="AT202" s="8" t="s">
        <v>742</v>
      </c>
      <c r="AU202" s="9">
        <v>230000</v>
      </c>
      <c r="AX202" s="9">
        <v>1</v>
      </c>
      <c r="AY202" s="9" t="s">
        <v>743</v>
      </c>
      <c r="CP202" s="9"/>
    </row>
    <row r="203" spans="40:94" ht="12.75" customHeight="1" hidden="1">
      <c r="AN203" s="5">
        <v>201</v>
      </c>
      <c r="AO203" s="6" t="s">
        <v>393</v>
      </c>
      <c r="AP203" s="7">
        <v>6</v>
      </c>
      <c r="AQ203" s="7">
        <v>3</v>
      </c>
      <c r="AR203" s="7">
        <v>3</v>
      </c>
      <c r="AS203" s="7">
        <v>8</v>
      </c>
      <c r="AT203" s="8" t="s">
        <v>744</v>
      </c>
      <c r="AU203" s="9">
        <v>240000</v>
      </c>
      <c r="AX203" s="9">
        <v>1</v>
      </c>
      <c r="AY203" s="9" t="s">
        <v>743</v>
      </c>
      <c r="CP203" s="9"/>
    </row>
    <row r="204" spans="40:94" ht="12.75" customHeight="1" hidden="1">
      <c r="AN204" s="5">
        <v>202</v>
      </c>
      <c r="AO204" s="6" t="s">
        <v>401</v>
      </c>
      <c r="AP204" s="7">
        <v>7</v>
      </c>
      <c r="AQ204" s="7">
        <v>3</v>
      </c>
      <c r="AR204" s="7">
        <v>3</v>
      </c>
      <c r="AS204" s="7">
        <v>8</v>
      </c>
      <c r="AT204" s="8" t="s">
        <v>745</v>
      </c>
      <c r="AU204" s="9">
        <v>220000</v>
      </c>
      <c r="AX204" s="9">
        <v>1</v>
      </c>
      <c r="AY204" s="9" t="s">
        <v>46</v>
      </c>
      <c r="CP204" s="9"/>
    </row>
    <row r="205" spans="40:94" ht="12.75" customHeight="1" hidden="1">
      <c r="AN205" s="5">
        <v>203</v>
      </c>
      <c r="AO205" s="6" t="s">
        <v>406</v>
      </c>
      <c r="AP205" s="7">
        <v>6</v>
      </c>
      <c r="AQ205" s="7">
        <v>3</v>
      </c>
      <c r="AR205" s="7">
        <v>3</v>
      </c>
      <c r="AS205" s="7">
        <v>8</v>
      </c>
      <c r="AT205" s="8" t="s">
        <v>746</v>
      </c>
      <c r="AU205" s="9">
        <v>190000</v>
      </c>
      <c r="AX205" s="9">
        <v>1</v>
      </c>
      <c r="AY205" s="9" t="s">
        <v>747</v>
      </c>
      <c r="CP205" s="9"/>
    </row>
    <row r="206" spans="40:94" ht="12.75" customHeight="1" hidden="1">
      <c r="AN206" s="5">
        <v>204</v>
      </c>
      <c r="AO206" s="6" t="s">
        <v>410</v>
      </c>
      <c r="AP206" s="7">
        <v>6</v>
      </c>
      <c r="AQ206" s="7">
        <v>3</v>
      </c>
      <c r="AR206" s="7">
        <v>3</v>
      </c>
      <c r="AS206" s="7">
        <v>8</v>
      </c>
      <c r="AT206" s="8" t="s">
        <v>748</v>
      </c>
      <c r="AU206" s="9">
        <v>250000</v>
      </c>
      <c r="AX206" s="9">
        <v>1</v>
      </c>
      <c r="AY206" s="9" t="s">
        <v>33</v>
      </c>
      <c r="CP206" s="9"/>
    </row>
    <row r="207" spans="40:94" ht="12.75" customHeight="1" hidden="1">
      <c r="AN207" s="5">
        <v>205</v>
      </c>
      <c r="AO207" s="6" t="s">
        <v>411</v>
      </c>
      <c r="AP207" s="7">
        <v>4</v>
      </c>
      <c r="AQ207" s="7">
        <v>4</v>
      </c>
      <c r="AR207" s="7">
        <v>2</v>
      </c>
      <c r="AS207" s="7">
        <v>9</v>
      </c>
      <c r="AT207" s="8" t="s">
        <v>749</v>
      </c>
      <c r="AU207" s="9">
        <v>190000</v>
      </c>
      <c r="AX207" s="9">
        <v>1</v>
      </c>
      <c r="AY207" s="9" t="s">
        <v>750</v>
      </c>
      <c r="CP207" s="9"/>
    </row>
    <row r="208" spans="40:94" ht="12.75" customHeight="1" hidden="1">
      <c r="AN208" s="5">
        <v>206</v>
      </c>
      <c r="AO208" s="6" t="s">
        <v>366</v>
      </c>
      <c r="AP208" s="7">
        <v>8</v>
      </c>
      <c r="AQ208" s="7">
        <v>2</v>
      </c>
      <c r="AR208" s="7">
        <v>4</v>
      </c>
      <c r="AS208" s="7">
        <v>7</v>
      </c>
      <c r="AT208" s="8" t="s">
        <v>751</v>
      </c>
      <c r="AU208" s="9">
        <v>250000</v>
      </c>
      <c r="AX208" s="9">
        <v>1</v>
      </c>
      <c r="AY208" s="9" t="s">
        <v>752</v>
      </c>
      <c r="CP208" s="9"/>
    </row>
    <row r="209" spans="40:94" ht="12.75" customHeight="1" hidden="1">
      <c r="AN209" s="5">
        <v>207</v>
      </c>
      <c r="AO209" s="6" t="s">
        <v>408</v>
      </c>
      <c r="AP209" s="7">
        <v>8</v>
      </c>
      <c r="AQ209" s="7">
        <v>3</v>
      </c>
      <c r="AR209" s="7">
        <v>3</v>
      </c>
      <c r="AS209" s="7">
        <v>8</v>
      </c>
      <c r="AT209" s="8" t="s">
        <v>753</v>
      </c>
      <c r="AU209" s="9">
        <v>260000</v>
      </c>
      <c r="AX209" s="9">
        <v>1</v>
      </c>
      <c r="AY209" s="9" t="s">
        <v>754</v>
      </c>
      <c r="CP209" s="9"/>
    </row>
    <row r="210" spans="40:94" ht="12.75" customHeight="1" hidden="1">
      <c r="AN210" s="5">
        <v>208</v>
      </c>
      <c r="AO210" s="6" t="s">
        <v>371</v>
      </c>
      <c r="AP210" s="7">
        <v>6</v>
      </c>
      <c r="AQ210" s="7">
        <v>3</v>
      </c>
      <c r="AR210" s="7">
        <v>4</v>
      </c>
      <c r="AS210" s="7">
        <v>8</v>
      </c>
      <c r="AT210" s="8" t="s">
        <v>755</v>
      </c>
      <c r="AU210" s="9">
        <v>170000</v>
      </c>
      <c r="AX210" s="9">
        <v>1</v>
      </c>
      <c r="AY210" s="9" t="s">
        <v>756</v>
      </c>
      <c r="CP210" s="9"/>
    </row>
    <row r="211" spans="40:94" ht="12.75" customHeight="1" hidden="1">
      <c r="AN211" s="5">
        <v>209</v>
      </c>
      <c r="AO211" s="6" t="s">
        <v>423</v>
      </c>
      <c r="AP211" s="7">
        <v>6</v>
      </c>
      <c r="AQ211" s="7">
        <v>3</v>
      </c>
      <c r="AR211" s="7">
        <v>4</v>
      </c>
      <c r="AS211" s="7">
        <v>9</v>
      </c>
      <c r="AT211" s="8" t="s">
        <v>757</v>
      </c>
      <c r="AU211" s="9">
        <v>270000</v>
      </c>
      <c r="AX211" s="9">
        <v>1</v>
      </c>
      <c r="AY211" s="9" t="s">
        <v>45</v>
      </c>
      <c r="CP211" s="9"/>
    </row>
    <row r="212" spans="40:94" ht="12.75" customHeight="1" hidden="1">
      <c r="AN212" s="5">
        <v>210</v>
      </c>
      <c r="AO212" s="6" t="s">
        <v>394</v>
      </c>
      <c r="AP212" s="7">
        <v>6</v>
      </c>
      <c r="AQ212" s="7">
        <v>4</v>
      </c>
      <c r="AR212" s="7">
        <v>4</v>
      </c>
      <c r="AS212" s="7">
        <v>8</v>
      </c>
      <c r="AT212" s="8" t="s">
        <v>445</v>
      </c>
      <c r="AU212" s="9">
        <v>190000</v>
      </c>
      <c r="AX212" s="9">
        <v>1</v>
      </c>
      <c r="AY212" s="9" t="s">
        <v>758</v>
      </c>
      <c r="CP212" s="9"/>
    </row>
    <row r="213" spans="40:94" ht="12.75" customHeight="1" hidden="1">
      <c r="AN213" s="5">
        <v>211</v>
      </c>
      <c r="AO213" s="6" t="s">
        <v>414</v>
      </c>
      <c r="AP213" s="7">
        <v>9</v>
      </c>
      <c r="AQ213" s="7">
        <v>2</v>
      </c>
      <c r="AR213" s="7">
        <v>4</v>
      </c>
      <c r="AS213" s="7">
        <v>7</v>
      </c>
      <c r="AT213" s="8" t="s">
        <v>759</v>
      </c>
      <c r="AU213" s="9">
        <v>290000</v>
      </c>
      <c r="AX213" s="9">
        <v>1</v>
      </c>
      <c r="AY213" s="9" t="s">
        <v>46</v>
      </c>
      <c r="CP213" s="9"/>
    </row>
    <row r="214" spans="40:94" ht="12.75" customHeight="1" hidden="1">
      <c r="AN214" s="5">
        <v>212</v>
      </c>
      <c r="AO214" s="6" t="s">
        <v>417</v>
      </c>
      <c r="AP214" s="7">
        <v>7</v>
      </c>
      <c r="AQ214" s="7">
        <v>4</v>
      </c>
      <c r="AR214" s="7">
        <v>3</v>
      </c>
      <c r="AS214" s="7">
        <v>7</v>
      </c>
      <c r="AT214" s="8" t="s">
        <v>755</v>
      </c>
      <c r="AU214" s="9">
        <v>180000</v>
      </c>
      <c r="AX214" s="9">
        <v>1</v>
      </c>
      <c r="AY214" s="9" t="s">
        <v>46</v>
      </c>
      <c r="CP214" s="9"/>
    </row>
    <row r="215" spans="40:94" ht="12.75" customHeight="1" hidden="1">
      <c r="AN215" s="5">
        <v>213</v>
      </c>
      <c r="AO215" s="6" t="s">
        <v>412</v>
      </c>
      <c r="AP215" s="7">
        <v>8</v>
      </c>
      <c r="AQ215" s="7">
        <v>3</v>
      </c>
      <c r="AR215" s="7">
        <v>5</v>
      </c>
      <c r="AS215" s="7">
        <v>7</v>
      </c>
      <c r="AT215" s="8" t="s">
        <v>760</v>
      </c>
      <c r="AU215" s="9">
        <v>340000</v>
      </c>
      <c r="AX215" s="9">
        <v>1</v>
      </c>
      <c r="AY215" s="9" t="s">
        <v>733</v>
      </c>
      <c r="CP215" s="9"/>
    </row>
    <row r="216" spans="40:94" ht="12.75" customHeight="1" hidden="1">
      <c r="AN216" s="5">
        <v>214</v>
      </c>
      <c r="AO216" s="6" t="s">
        <v>416</v>
      </c>
      <c r="AP216" s="7">
        <v>5</v>
      </c>
      <c r="AQ216" s="7">
        <v>3</v>
      </c>
      <c r="AR216" s="7">
        <v>4</v>
      </c>
      <c r="AS216" s="7">
        <v>9</v>
      </c>
      <c r="AT216" s="8" t="s">
        <v>761</v>
      </c>
      <c r="AU216" s="9">
        <v>210000</v>
      </c>
      <c r="AX216" s="9">
        <v>1</v>
      </c>
      <c r="AY216" s="9" t="s">
        <v>33</v>
      </c>
      <c r="CP216" s="9"/>
    </row>
    <row r="217" spans="40:94" ht="12.75" customHeight="1" hidden="1">
      <c r="AN217" s="5">
        <v>215</v>
      </c>
      <c r="AO217" s="6" t="s">
        <v>377</v>
      </c>
      <c r="AP217" s="7">
        <v>7</v>
      </c>
      <c r="AQ217" s="7">
        <v>3</v>
      </c>
      <c r="AR217" s="7">
        <v>4</v>
      </c>
      <c r="AS217" s="7">
        <v>8</v>
      </c>
      <c r="AT217" s="8" t="s">
        <v>762</v>
      </c>
      <c r="AU217" s="9">
        <v>210000</v>
      </c>
      <c r="AX217" s="9">
        <v>1</v>
      </c>
      <c r="AY217" s="9" t="s">
        <v>690</v>
      </c>
      <c r="CP217" s="9"/>
    </row>
  </sheetData>
  <sheetProtection sheet="1" insertRows="0" insertHyperlinks="0" deleteRows="0" autoFilter="0"/>
  <mergeCells count="94">
    <mergeCell ref="AY4:AY7"/>
    <mergeCell ref="CP4:CP7"/>
    <mergeCell ref="AY8:AY10"/>
    <mergeCell ref="CP8:CP10"/>
    <mergeCell ref="AY11:AY14"/>
    <mergeCell ref="CP11:CP14"/>
    <mergeCell ref="AY15:AY21"/>
    <mergeCell ref="CP15:CP21"/>
    <mergeCell ref="C21:D21"/>
    <mergeCell ref="E21:I21"/>
    <mergeCell ref="AC21:AD21"/>
    <mergeCell ref="C22:D22"/>
    <mergeCell ref="E22:I22"/>
    <mergeCell ref="X22:AA22"/>
    <mergeCell ref="AC22:AD22"/>
    <mergeCell ref="AY22:AY26"/>
    <mergeCell ref="CP22:CP26"/>
    <mergeCell ref="C23:D23"/>
    <mergeCell ref="E23:I23"/>
    <mergeCell ref="X23:AA23"/>
    <mergeCell ref="AC23:AD23"/>
    <mergeCell ref="C24:D24"/>
    <mergeCell ref="E24:I24"/>
    <mergeCell ref="X24:AA24"/>
    <mergeCell ref="AC24:AD24"/>
    <mergeCell ref="C25:D25"/>
    <mergeCell ref="E25:I25"/>
    <mergeCell ref="X25:AA25"/>
    <mergeCell ref="AC25:AD25"/>
    <mergeCell ref="C26:D26"/>
    <mergeCell ref="E26:I26"/>
    <mergeCell ref="X26:AA26"/>
    <mergeCell ref="AC26:AD26"/>
    <mergeCell ref="C27:D27"/>
    <mergeCell ref="E27:I27"/>
    <mergeCell ref="AC27:AD27"/>
    <mergeCell ref="AY27:AY31"/>
    <mergeCell ref="CP27:CP31"/>
    <mergeCell ref="C28:D28"/>
    <mergeCell ref="E28:I28"/>
    <mergeCell ref="AC28:AD28"/>
    <mergeCell ref="C32:K32"/>
    <mergeCell ref="L32:AD32"/>
    <mergeCell ref="AY32:AY35"/>
    <mergeCell ref="CP32:CP35"/>
    <mergeCell ref="X33:AA33"/>
    <mergeCell ref="AC33:AD33"/>
    <mergeCell ref="X34:AA34"/>
    <mergeCell ref="AC34:AD34"/>
    <mergeCell ref="X35:AA35"/>
    <mergeCell ref="AC35:AD35"/>
    <mergeCell ref="X36:AA36"/>
    <mergeCell ref="AC36:AD36"/>
    <mergeCell ref="AY36:AY41"/>
    <mergeCell ref="CP36:CP41"/>
    <mergeCell ref="X37:AA37"/>
    <mergeCell ref="AC37:AD37"/>
    <mergeCell ref="X38:AA38"/>
    <mergeCell ref="AC38:AD38"/>
    <mergeCell ref="X39:AA39"/>
    <mergeCell ref="AC39:AD39"/>
    <mergeCell ref="AC40:AD40"/>
    <mergeCell ref="AY42:AY43"/>
    <mergeCell ref="CP42:CP43"/>
    <mergeCell ref="AY44:AY47"/>
    <mergeCell ref="CP44:CP47"/>
    <mergeCell ref="AY48:AY52"/>
    <mergeCell ref="CP48:CP52"/>
    <mergeCell ref="AY53:AY56"/>
    <mergeCell ref="CP53:CP56"/>
    <mergeCell ref="AY57:AY59"/>
    <mergeCell ref="CP57:CP59"/>
    <mergeCell ref="AY60:AY64"/>
    <mergeCell ref="CP60:CP64"/>
    <mergeCell ref="AY65:AY70"/>
    <mergeCell ref="CP65:CP70"/>
    <mergeCell ref="AY71:AY74"/>
    <mergeCell ref="CP71:CP74"/>
    <mergeCell ref="AY75:AY76"/>
    <mergeCell ref="CP75:CP76"/>
    <mergeCell ref="AY77:AY82"/>
    <mergeCell ref="CP77:CP82"/>
    <mergeCell ref="AY83:AY87"/>
    <mergeCell ref="CP83:CP87"/>
    <mergeCell ref="AY88:AY91"/>
    <mergeCell ref="CP88:CP91"/>
    <mergeCell ref="AY92:AY96"/>
    <mergeCell ref="CP92:CP96"/>
    <mergeCell ref="AY97:AY101"/>
    <mergeCell ref="CP97:CP101"/>
    <mergeCell ref="AY102:AY103"/>
    <mergeCell ref="CP102:CP103"/>
    <mergeCell ref="AY104:AY108"/>
    <mergeCell ref="CP104:CP108"/>
  </mergeCells>
  <conditionalFormatting sqref="F5:I20">
    <cfRule type="cellIs" priority="1" dxfId="0" operator="greaterThanOrEqual" stopIfTrue="1">
      <formula>'Luccini 2010'!AH5+1</formula>
    </cfRule>
    <cfRule type="cellIs" priority="2" dxfId="1" operator="lessThanOrEqual" stopIfTrue="1">
      <formula>'Luccini 2010'!AH5-1</formula>
    </cfRule>
  </conditionalFormatting>
  <conditionalFormatting sqref="L5:M20 V5:AA20">
    <cfRule type="cellIs" priority="3" dxfId="2" operator="equal" stopIfTrue="1">
      <formula>0</formula>
    </cfRule>
  </conditionalFormatting>
  <conditionalFormatting sqref="AB5:AC20">
    <cfRule type="cellIs" priority="4" dxfId="3" operator="equal" stopIfTrue="1">
      <formula>"Star"</formula>
    </cfRule>
  </conditionalFormatting>
  <conditionalFormatting sqref="R5:U20">
    <cfRule type="cellIs" priority="5" dxfId="4" operator="lessThanOrEqual" stopIfTrue="1">
      <formula>-1</formula>
    </cfRule>
  </conditionalFormatting>
  <conditionalFormatting sqref="N5:P20">
    <cfRule type="cellIs" priority="6" dxfId="5" operator="equal" stopIfTrue="1">
      <formula>"n/a"</formula>
    </cfRule>
  </conditionalFormatting>
  <conditionalFormatting sqref="J5:J20 J33:J40">
    <cfRule type="expression" priority="7" dxfId="6" stopIfTrue="1">
      <formula>NOT(ISERROR(SEARCH("ERRORE! TROPPI GIOCATORI IN QUESTO RUOLO!",'Luccini 2010'!J5)))</formula>
    </cfRule>
  </conditionalFormatting>
  <printOptions horizontalCentered="1" verticalCentered="1"/>
  <pageMargins left="0.27569444444444446" right="0.27569444444444446" top="0.19652777777777777" bottom="0.19652777777777777" header="0.5118055555555555" footer="0.5118055555555555"/>
  <pageSetup horizontalDpi="300" verticalDpi="300" orientation="landscape" paperSize="9" scale="7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Fernando Giammattei</cp:lastModifiedBy>
  <cp:lastPrinted>2010-12-10T11:52:37Z</cp:lastPrinted>
  <dcterms:created xsi:type="dcterms:W3CDTF">2001-02-12T07:17:33Z</dcterms:created>
  <dcterms:modified xsi:type="dcterms:W3CDTF">2012-02-28T19:21:46Z</dcterms:modified>
  <cp:category/>
  <cp:version/>
  <cp:contentType/>
  <cp:contentStatus/>
  <cp:revision>2</cp:revision>
</cp:coreProperties>
</file>