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11640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2012'!$BH:$IV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<sst xmlns="http://schemas.openxmlformats.org/spreadsheetml/2006/main" count="1897" uniqueCount="832">
  <si>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</si>
  <si>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</si>
  <si>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</si>
  <si>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</si>
  <si>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</si>
  <si>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</si>
  <si>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</si>
  <si>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</si>
  <si>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</si>
  <si>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</si>
  <si>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</si>
  <si>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</si>
  <si>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</si>
  <si>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</si>
  <si>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</si>
  <si>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</si>
  <si>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</si>
  <si>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</si>
  <si>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</si>
  <si>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</si>
  <si>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</si>
  <si>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</si>
  <si>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</si>
  <si>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</si>
  <si>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</si>
  <si>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</si>
  <si>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</si>
  <si>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</si>
  <si>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</si>
  <si>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</si>
  <si>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</si>
  <si>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</si>
  <si>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</si>
  <si>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</si>
  <si>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</si>
  <si>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</si>
  <si>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</si>
  <si>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</si>
  <si>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</si>
  <si>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</si>
  <si>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</si>
  <si>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</si>
  <si>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</si>
  <si>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</si>
  <si>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</si>
  <si>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</si>
  <si>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</si>
  <si>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</si>
  <si>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</si>
  <si>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</si>
  <si>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</si>
  <si>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</si>
  <si>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</si>
  <si>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</si>
  <si>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</si>
  <si>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</si>
  <si>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</si>
  <si>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</si>
  <si>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</si>
  <si>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</si>
  <si>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</si>
  <si>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</si>
  <si>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</si>
  <si>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</si>
  <si>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</si>
  <si>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</si>
  <si>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</si>
  <si>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</si>
  <si>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</si>
  <si>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</si>
  <si>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</si>
  <si>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</si>
  <si>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</si>
  <si>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</si>
  <si>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</si>
  <si>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</si>
  <si>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</si>
  <si>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</si>
  <si>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</si>
  <si>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</si>
  <si>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</si>
  <si>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</si>
  <si>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</si>
  <si>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</si>
  <si>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</si>
  <si>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</si>
  <si>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</si>
  <si>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</si>
  <si>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</si>
  <si>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</si>
  <si>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</si>
  <si>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</si>
  <si>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</si>
  <si>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</si>
  <si>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</si>
  <si>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</si>
  <si>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</si>
  <si>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</si>
  <si>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</si>
  <si>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</si>
  <si>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</si>
  <si>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</si>
  <si>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</si>
  <si>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</si>
  <si>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</si>
  <si>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</si>
  <si>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</si>
  <si>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</si>
  <si>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</si>
  <si>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</si>
  <si>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</si>
  <si>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</si>
  <si>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</si>
  <si>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</si>
  <si>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</si>
  <si>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</si>
  <si>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</si>
  <si>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</si>
  <si>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</si>
  <si>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</si>
  <si>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</si>
  <si>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</si>
  <si>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</si>
  <si>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</si>
  <si>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</si>
  <si>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</si>
  <si>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</si>
  <si>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</si>
  <si>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</si>
  <si>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</si>
  <si>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</si>
  <si>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</si>
  <si>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</si>
  <si>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</si>
  <si>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</si>
  <si>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</si>
  <si>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</si>
  <si>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</si>
  <si>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</si>
  <si>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</si>
  <si>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</si>
  <si>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</si>
  <si>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</si>
  <si>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</si>
  <si>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</si>
  <si>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</si>
  <si>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</si>
  <si>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</si>
  <si>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</si>
  <si>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</si>
  <si>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</si>
  <si>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</si>
  <si>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</si>
  <si>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</si>
  <si>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</si>
  <si>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</si>
  <si>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</si>
  <si>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</si>
  <si>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</si>
  <si>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</si>
  <si>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</si>
  <si>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</si>
  <si>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</si>
  <si>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</si>
  <si>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</si>
  <si>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</si>
  <si>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</si>
  <si>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</si>
  <si>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</si>
  <si>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</si>
  <si>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</si>
  <si>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</si>
  <si>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</si>
  <si>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</si>
  <si>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</si>
  <si>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</si>
  <si>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</si>
  <si>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</si>
  <si>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</si>
  <si>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</si>
  <si>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</si>
  <si>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</si>
  <si>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</si>
  <si>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</si>
  <si>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</si>
  <si>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</si>
  <si>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</si>
  <si>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</si>
  <si>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</si>
  <si>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</si>
  <si>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</si>
  <si>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</si>
  <si>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</si>
  <si>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</si>
  <si>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</si>
  <si>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</si>
  <si>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</si>
  <si>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</si>
  <si>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</si>
  <si>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</si>
  <si>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</si>
  <si>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</si>
  <si>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</si>
  <si>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</si>
  <si>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</si>
  <si>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</si>
  <si>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</si>
  <si>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</si>
  <si>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</si>
  <si>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</si>
  <si>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</si>
  <si>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</si>
  <si>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</si>
  <si>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</si>
  <si>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</si>
  <si>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</si>
  <si>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</si>
  <si>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</si>
  <si>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</si>
  <si>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</si>
  <si>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</si>
  <si>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</si>
  <si>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</si>
  <si>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</si>
  <si>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</si>
  <si>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</si>
  <si>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</si>
  <si>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</si>
  <si>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</si>
  <si>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</si>
  <si>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</si>
  <si>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</si>
  <si>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</si>
  <si>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</si>
  <si>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</si>
  <si>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</si>
  <si>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</si>
  <si>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</si>
  <si>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</si>
  <si>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</si>
  <si>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</si>
  <si>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</si>
  <si>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</si>
  <si>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</si>
  <si>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</si>
  <si>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</si>
  <si>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</si>
  <si>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</si>
  <si>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</si>
  <si>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</si>
  <si>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</si>
  <si>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</si>
  <si>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</si>
  <si>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</si>
  <si>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</si>
  <si>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</si>
  <si>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</si>
  <si>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</si>
  <si>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</si>
  <si>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</si>
  <si>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</si>
  <si>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</si>
  <si>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</si>
  <si>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</si>
  <si>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</si>
  <si>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</si>
  <si>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</si>
  <si>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</si>
  <si>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</si>
  <si>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</si>
  <si>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</si>
  <si>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</si>
  <si>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</si>
  <si>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</si>
  <si>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</si>
  <si>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</si>
  <si>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</si>
  <si>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</si>
  <si>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</si>
  <si>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</si>
  <si>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</si>
  <si>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</si>
  <si>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</si>
  <si>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</si>
  <si>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</si>
  <si>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</si>
  <si>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</si>
  <si>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</si>
  <si>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</si>
  <si>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</si>
  <si>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</si>
  <si>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</si>
  <si>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</si>
  <si>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</si>
  <si>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</si>
  <si>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</si>
  <si>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</si>
  <si>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</si>
  <si>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</si>
  <si>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</si>
  <si>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</si>
  <si>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</si>
  <si>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</si>
  <si>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</si>
  <si>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</si>
  <si>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</si>
  <si>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</si>
  <si>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</si>
  <si>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</si>
  <si>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</si>
  <si>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</si>
  <si>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</si>
  <si>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</si>
  <si>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</si>
  <si>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</si>
  <si>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</si>
  <si>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</si>
  <si>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</si>
  <si>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</si>
  <si>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</si>
  <si>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</si>
  <si>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</si>
  <si>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</si>
  <si>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</si>
  <si>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</si>
  <si>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</si>
  <si>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</si>
  <si>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</si>
  <si>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</si>
  <si>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</si>
  <si>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</si>
  <si>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</si>
  <si>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</si>
  <si>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</si>
  <si>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</si>
  <si>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</si>
  <si>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</si>
  <si>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</si>
  <si>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</si>
  <si>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</si>
  <si>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</si>
  <si>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</si>
  <si>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</si>
  <si>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</si>
  <si>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</si>
  <si>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</si>
  <si>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</si>
  <si>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</si>
  <si>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</si>
  <si>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</si>
  <si>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</si>
  <si>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</si>
  <si>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</si>
  <si>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</si>
  <si>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</si>
  <si>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</si>
  <si>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</si>
  <si>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</si>
  <si>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</si>
  <si>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</si>
  <si>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</si>
  <si>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</si>
  <si>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</si>
  <si>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</si>
  <si>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</si>
  <si>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</si>
  <si>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</si>
  <si>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</si>
  <si>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</si>
  <si>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</si>
  <si>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</si>
  <si>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</si>
  <si>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</si>
  <si>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</si>
  <si>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</si>
  <si>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</si>
  <si>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</si>
  <si>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</si>
  <si>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</si>
  <si>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</si>
  <si>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</si>
  <si>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</si>
  <si>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</si>
  <si>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</si>
  <si>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</si>
  <si>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</si>
  <si>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</si>
  <si>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</si>
  <si>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</si>
  <si>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</si>
  <si>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</si>
  <si>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</si>
  <si>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</si>
  <si>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</si>
  <si>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</si>
  <si>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</si>
  <si>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</si>
  <si>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</si>
  <si>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</si>
  <si>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</si>
  <si>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</si>
  <si>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</si>
  <si>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</si>
  <si>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</si>
  <si>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</si>
  <si>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</si>
  <si>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</si>
  <si>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</si>
  <si>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</si>
  <si>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</si>
  <si>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</si>
  <si>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</si>
  <si>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</si>
  <si>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</si>
  <si>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</si>
  <si>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</si>
  <si>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</si>
  <si>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</si>
  <si>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</si>
  <si>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</si>
  <si>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</si>
  <si>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</si>
  <si>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</si>
  <si>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</si>
  <si>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</si>
  <si>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</si>
  <si>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</si>
  <si>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</si>
  <si>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</si>
  <si>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</si>
  <si>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</si>
  <si>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</si>
  <si>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</si>
  <si>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</si>
  <si>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</si>
  <si>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</si>
  <si>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</si>
  <si>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</si>
  <si>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</si>
  <si>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</si>
  <si>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</si>
  <si>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</si>
  <si>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</si>
  <si>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</si>
  <si>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</si>
  <si>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</si>
  <si>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</si>
  <si>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</si>
  <si>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</si>
  <si>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</si>
  <si>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</si>
  <si>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</si>
  <si>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</si>
  <si>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</si>
  <si>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</si>
  <si>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</si>
  <si>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</si>
  <si>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</si>
  <si>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</si>
  <si>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</si>
  <si>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</si>
  <si>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</si>
  <si>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</si>
  <si>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</si>
  <si>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</si>
  <si>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</si>
  <si>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</si>
  <si>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</si>
  <si>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</si>
  <si>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</si>
  <si>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</si>
  <si>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</si>
  <si>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</si>
  <si>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</si>
  <si>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</si>
  <si>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</si>
  <si>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</si>
  <si>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</si>
  <si>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</si>
  <si>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</si>
  <si>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</si>
  <si>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</si>
  <si>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</si>
  <si>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</si>
  <si>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</si>
  <si>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</si>
  <si>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</si>
  <si>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</si>
  <si>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</si>
  <si>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</si>
  <si>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</si>
  <si>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</si>
  <si>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</si>
  <si>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</si>
  <si>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</si>
  <si>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</si>
  <si>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</si>
  <si>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</si>
  <si>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</si>
  <si>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</si>
  <si>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</si>
  <si>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</si>
  <si>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</si>
  <si>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</si>
  <si>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</si>
  <si>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</si>
  <si>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</si>
  <si>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</si>
  <si>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</si>
  <si>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</si>
  <si>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</si>
  <si>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</si>
  <si>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</si>
  <si>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</si>
  <si>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</si>
  <si>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</si>
  <si>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</si>
  <si>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</si>
  <si>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</si>
  <si>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</si>
  <si>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</si>
  <si>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</si>
  <si>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</si>
  <si>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</si>
  <si>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</si>
  <si>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</si>
  <si>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</si>
  <si>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</si>
  <si>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</si>
  <si>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</si>
  <si>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</si>
  <si>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</si>
  <si>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</si>
  <si>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</si>
  <si>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</si>
  <si>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</si>
  <si>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</si>
  <si>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</si>
  <si>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</si>
  <si>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</si>
  <si>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</si>
  <si>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</si>
  <si>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</si>
  <si>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</si>
  <si>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</si>
  <si>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</si>
  <si>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</si>
  <si>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</si>
  <si>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</si>
  <si>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</si>
  <si>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</si>
  <si>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</si>
  <si>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</si>
  <si>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</si>
  <si>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</si>
  <si>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</si>
  <si>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</si>
  <si>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</si>
  <si>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</si>
  <si>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</si>
  <si>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</si>
  <si>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</si>
  <si>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</si>
  <si>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</si>
  <si>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</si>
  <si>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</si>
  <si>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</si>
  <si>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</si>
  <si>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</si>
  <si>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</si>
  <si>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</si>
  <si>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</si>
  <si>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</si>
  <si>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</si>
  <si>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</si>
  <si>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</si>
  <si>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</si>
  <si>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</si>
  <si>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</si>
  <si>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</si>
  <si>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</si>
  <si>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</si>
  <si>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</si>
  <si>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</si>
  <si>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</si>
  <si>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</si>
  <si>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</si>
  <si>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</si>
  <si>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</si>
  <si>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</si>
  <si>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</si>
  <si>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</si>
  <si>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</si>
  <si>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</si>
  <si>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</si>
  <si>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</si>
  <si>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</si>
  <si>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</si>
  <si>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</si>
  <si>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</si>
  <si>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</si>
  <si>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</si>
  <si>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</si>
  <si>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</si>
  <si>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</si>
  <si>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</si>
  <si>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</si>
  <si>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</si>
  <si>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</si>
  <si>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</si>
  <si>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</si>
  <si>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</si>
  <si>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</si>
  <si>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</si>
  <si>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</si>
  <si>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</si>
  <si>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</si>
  <si>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</si>
  <si>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</si>
  <si>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</si>
  <si>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</si>
  <si>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</si>
  <si>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</si>
  <si>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</si>
  <si>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</si>
  <si>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</si>
  <si>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</si>
  <si>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</si>
  <si>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</si>
  <si>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</si>
  <si>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</si>
  <si>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</si>
  <si>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</si>
  <si>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</si>
  <si>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</si>
  <si>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</si>
  <si>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</si>
  <si>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</si>
  <si>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</si>
  <si>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</si>
  <si>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</si>
  <si>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</si>
  <si>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</si>
  <si>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</si>
  <si>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</si>
  <si>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</si>
  <si>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</si>
  <si>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</si>
  <si>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</si>
  <si>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</si>
  <si>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</si>
  <si>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</si>
  <si>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</si>
  <si>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</si>
  <si>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</si>
  <si>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</si>
  <si>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</si>
  <si>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</si>
  <si>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</si>
  <si>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</si>
  <si>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</si>
  <si>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</si>
  <si>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</si>
  <si>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</si>
  <si>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</si>
  <si>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</si>
  <si>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</si>
  <si>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</si>
  <si>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</si>
  <si>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</si>
  <si>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</si>
  <si>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</si>
  <si>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</si>
  <si>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</si>
  <si>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</si>
  <si>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</si>
  <si>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</si>
  <si>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</si>
  <si>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</si>
  <si>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</si>
  <si>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</si>
  <si>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</si>
  <si>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</si>
  <si>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</si>
  <si>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</si>
  <si>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</si>
  <si>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</si>
  <si>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</si>
  <si>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</si>
  <si>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</si>
  <si>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</si>
  <si>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</si>
  <si>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</si>
  <si>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</si>
  <si>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</si>
  <si>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</si>
  <si>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</si>
  <si>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</si>
  <si>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</si>
  <si>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</si>
  <si>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</si>
  <si>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</si>
  <si>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</si>
  <si>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</si>
  <si>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</si>
  <si>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</si>
  <si>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</si>
  <si>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</si>
  <si>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</si>
  <si>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</si>
  <si>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</si>
  <si>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</si>
  <si>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</si>
  <si>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</si>
  <si>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</si>
  <si>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</si>
  <si>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</si>
  <si>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</si>
  <si>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</si>
  <si>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</si>
  <si>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</si>
  <si>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</si>
  <si>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</si>
  <si>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</si>
  <si>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</si>
  <si>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</si>
  <si>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</si>
  <si>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</si>
  <si>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</si>
  <si>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</si>
  <si>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</si>
  <si>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</si>
  <si>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</si>
  <si>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</si>
  <si>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</si>
  <si>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</si>
  <si>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</si>
  <si>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</si>
  <si>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</si>
  <si>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</si>
  <si>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</si>
  <si>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</si>
  <si>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</si>
  <si>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</si>
  <si>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</si>
  <si>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</si>
  <si>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</si>
  <si>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</si>
  <si>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</si>
  <si>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</si>
  <si>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</si>
  <si>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</si>
  <si>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</si>
  <si>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</si>
  <si>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</si>
  <si>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</si>
  <si>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</si>
  <si>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</si>
  <si>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</si>
  <si>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</si>
  <si>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</si>
  <si>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</si>
  <si>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</si>
  <si>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</si>
  <si>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</si>
  <si>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</si>
  <si>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</si>
  <si>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</si>
  <si>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</si>
  <si>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</si>
  <si>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</si>
  <si>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</si>
  <si>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</si>
  <si>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</si>
  <si>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</si>
  <si>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</si>
  <si>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</si>
  <si>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</si>
  <si>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</si>
  <si>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</si>
  <si>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</si>
  <si>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</si>
  <si>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</si>
  <si>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</si>
  <si>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</si>
  <si>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</si>
  <si>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</si>
  <si>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</si>
  <si>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</si>
  <si>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</si>
  <si>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</si>
  <si>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</si>
  <si>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</si>
  <si>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</si>
  <si>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</si>
  <si>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</si>
  <si>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</si>
  <si>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</si>
  <si>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</si>
  <si>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</si>
  <si>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</si>
  <si>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</si>
  <si>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</si>
  <si>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</si>
  <si>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</si>
  <si>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</si>
  <si>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</si>
  <si>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</si>
  <si>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</si>
  <si>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</si>
  <si>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</si>
  <si>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</si>
  <si>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</si>
  <si>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</si>
  <si>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</si>
  <si>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</si>
  <si>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</si>
  <si>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</si>
  <si>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</si>
  <si>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</si>
  <si>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</si>
  <si>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</si>
  <si>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</si>
  <si>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</si>
  <si>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</si>
  <si>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Nota: tabella nomi abilità</t>
  </si>
  <si>
    <t>Nota: tabella numero skill</t>
  </si>
  <si>
    <t>Nota: tabella categorie abilità</t>
  </si>
  <si>
    <t>Nota: quanti incrementi</t>
  </si>
  <si>
    <t>Nota: incrementi (1ma-2st-3ag-4va)</t>
  </si>
  <si>
    <t>Nota: tabella tipologia skill</t>
  </si>
  <si>
    <t>Daemon of Khorne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</si>
</sst>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" fillId="42" borderId="49" xfId="0" applyFont="1" applyFill="1" applyBorder="1" applyAlignment="1" applyProtection="1">
      <alignment horizontal="left" vertical="center"/>
      <protection hidden="1"/>
    </xf>
    <xf numFmtId="0" fontId="1" fillId="42" borderId="0" xfId="0" applyFont="1" applyFill="1" applyBorder="1" applyAlignment="1" applyProtection="1">
      <alignment horizontal="left" vertical="center"/>
      <protection hidden="1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2" borderId="62" xfId="0" applyFont="1" applyFill="1" applyBorder="1" applyAlignment="1" applyProtection="1">
      <alignment horizontal="left" vertical="center"/>
      <protection hidden="1"/>
    </xf>
    <xf numFmtId="0" fontId="1" fillId="42" borderId="18" xfId="0" applyFont="1" applyFill="1" applyBorder="1" applyAlignment="1" applyProtection="1">
      <alignment horizontal="left" vertical="center"/>
      <protection hidden="1"/>
    </xf>
    <xf numFmtId="3" fontId="14" fillId="43" borderId="51" xfId="0" applyNumberFormat="1" applyFont="1" applyFill="1" applyBorder="1" applyAlignment="1" applyProtection="1">
      <alignment horizontal="center" vertical="center" textRotation="180"/>
      <protection/>
    </xf>
    <xf numFmtId="3" fontId="14" fillId="43" borderId="48" xfId="0" applyNumberFormat="1" applyFont="1" applyFill="1" applyBorder="1" applyAlignment="1" applyProtection="1">
      <alignment horizontal="center" vertical="center" textRotation="180"/>
      <protection/>
    </xf>
    <xf numFmtId="3" fontId="14" fillId="43" borderId="52" xfId="0" applyNumberFormat="1" applyFont="1" applyFill="1" applyBorder="1" applyAlignment="1" applyProtection="1">
      <alignment horizontal="center" vertical="center" textRotation="180"/>
      <protection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X222"/>
  <sheetViews>
    <sheetView tabSelected="1" zoomScale="75" zoomScaleNormal="75" workbookViewId="0" topLeftCell="A1">
      <selection activeCell="A1" sqref="A1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5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52" width="3.7109375" style="10" hidden="1" customWidth="1"/>
    <col min="53" max="58" width="7.7109375" style="10" hidden="1" customWidth="1"/>
    <col min="59" max="59" width="6.7109375" style="10" hidden="1" customWidth="1"/>
    <col min="60" max="64" width="5.7109375" style="10" hidden="1" customWidth="1"/>
    <col min="65" max="65" width="11.00390625" style="10" hidden="1" customWidth="1"/>
    <col min="66" max="66" width="5.7109375" style="10" hidden="1" customWidth="1"/>
    <col min="67" max="67" width="5.7109375" style="25" hidden="1" customWidth="1"/>
    <col min="68" max="68" width="5.7109375" style="14" hidden="1" customWidth="1"/>
    <col min="69" max="72" width="5.7109375" style="19" hidden="1" customWidth="1"/>
    <col min="73" max="73" width="5.7109375" style="21" hidden="1" customWidth="1"/>
    <col min="74" max="77" width="5.7109375" style="18" hidden="1" customWidth="1"/>
    <col min="78" max="78" width="5.7109375" style="24" hidden="1" customWidth="1"/>
    <col min="79" max="79" width="5.7109375" style="26" hidden="1" customWidth="1"/>
    <col min="80" max="80" width="5.7109375" style="23" hidden="1" customWidth="1"/>
    <col min="81" max="81" width="5.7109375" style="24" hidden="1" customWidth="1"/>
    <col min="82" max="83" width="9.421875" style="24" hidden="1" customWidth="1"/>
    <col min="84" max="84" width="5.7109375" style="24" hidden="1" customWidth="1"/>
    <col min="85" max="85" width="5.7109375" style="26" hidden="1" customWidth="1"/>
    <col min="86" max="86" width="21.7109375" style="24" hidden="1" customWidth="1"/>
    <col min="87" max="87" width="5.7109375" style="37" hidden="1" customWidth="1"/>
    <col min="88" max="88" width="5.7109375" style="24" hidden="1" customWidth="1"/>
    <col min="89" max="89" width="5.7109375" style="26" hidden="1" customWidth="1"/>
    <col min="90" max="91" width="18.7109375" style="15" hidden="1" customWidth="1"/>
    <col min="92" max="93" width="18.7109375" style="17" hidden="1" customWidth="1"/>
    <col min="94" max="94" width="18.7109375" style="15" hidden="1" customWidth="1"/>
    <col min="95" max="95" width="9.421875" style="15" hidden="1" customWidth="1"/>
    <col min="96" max="96" width="18.7109375" style="17" hidden="1" customWidth="1"/>
    <col min="97" max="100" width="18.7109375" style="15" hidden="1" customWidth="1"/>
    <col min="101" max="101" width="18.7109375" style="10" hidden="1" customWidth="1"/>
    <col min="102" max="102" width="18.7109375" style="15" hidden="1" customWidth="1"/>
    <col min="103" max="103" width="18.7109375" style="10" hidden="1" customWidth="1"/>
    <col min="104" max="104" width="18.7109375" style="17" hidden="1" customWidth="1"/>
    <col min="105" max="110" width="18.7109375" style="10" hidden="1" customWidth="1"/>
    <col min="111" max="112" width="18.7109375" style="15" hidden="1" customWidth="1"/>
    <col min="113" max="113" width="18.7109375" style="10" hidden="1" customWidth="1"/>
    <col min="114" max="114" width="18.7109375" style="15" hidden="1" customWidth="1"/>
    <col min="115" max="115" width="9.140625" style="10" hidden="1" customWidth="1"/>
    <col min="116" max="116" width="5.7109375" style="25" hidden="1" customWidth="1"/>
    <col min="117" max="117" width="16.57421875" style="14" hidden="1" customWidth="1"/>
    <col min="118" max="121" width="5.7109375" style="19" hidden="1" customWidth="1"/>
    <col min="122" max="122" width="21.00390625" style="21" hidden="1" customWidth="1"/>
    <col min="123" max="123" width="5.7109375" style="18" hidden="1" customWidth="1"/>
    <col min="124" max="124" width="5.7109375" style="24" hidden="1" customWidth="1"/>
    <col min="125" max="16384" width="9.140625" style="10" hidden="1" customWidth="1"/>
  </cols>
  <sheetData>
    <row r="1" ht="8.25" customHeight="1" thickBot="1"/>
    <row r="2" spans="2:116" ht="89.25" customHeight="1" thickBot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3"/>
      <c r="BH2" s="1"/>
      <c r="BO2" s="197"/>
      <c r="BP2" s="64"/>
      <c r="DL2" s="150"/>
    </row>
    <row r="3" spans="2:154" ht="8.25" customHeight="1" thickBot="1">
      <c r="B3" s="71"/>
      <c r="C3" s="81"/>
      <c r="D3" s="81"/>
      <c r="E3" s="82"/>
      <c r="F3" s="81"/>
      <c r="G3" s="81"/>
      <c r="H3" s="81"/>
      <c r="I3" s="81"/>
      <c r="J3" s="81"/>
      <c r="K3" s="81"/>
      <c r="L3" s="81"/>
      <c r="M3" s="81"/>
      <c r="N3" s="81"/>
      <c r="O3" s="106"/>
      <c r="P3" s="83"/>
      <c r="Q3" s="83"/>
      <c r="R3" s="83"/>
      <c r="S3" s="83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  <c r="AE3" s="7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"/>
      <c r="BI3" s="1"/>
      <c r="BJ3" s="1"/>
      <c r="BK3" s="1"/>
      <c r="BL3" s="1"/>
      <c r="BM3" s="1"/>
      <c r="BN3" s="1"/>
      <c r="BO3" s="2">
        <v>1</v>
      </c>
      <c r="BP3" s="59"/>
      <c r="BQ3" s="4"/>
      <c r="BR3" s="4"/>
      <c r="BS3" s="4"/>
      <c r="BT3" s="4"/>
      <c r="BU3" s="20"/>
      <c r="BV3" s="5"/>
      <c r="BW3" s="5"/>
      <c r="BX3" s="5"/>
      <c r="BY3" s="5"/>
      <c r="BZ3" s="5"/>
      <c r="CA3" s="6"/>
      <c r="CB3" s="7"/>
      <c r="CC3" s="5"/>
      <c r="CD3" s="5"/>
      <c r="CE3" s="5"/>
      <c r="CF3" s="5"/>
      <c r="CG3" s="34">
        <v>1</v>
      </c>
      <c r="CH3" s="2"/>
      <c r="CI3" s="35"/>
      <c r="CJ3" s="5"/>
      <c r="CK3" s="6"/>
      <c r="CL3" s="8"/>
      <c r="CM3" s="8"/>
      <c r="CN3" s="9"/>
      <c r="CO3" s="9"/>
      <c r="CP3" s="8"/>
      <c r="CQ3" s="8"/>
      <c r="CR3" s="9"/>
      <c r="CS3" s="8"/>
      <c r="CT3" s="8"/>
      <c r="CU3" s="8"/>
      <c r="CV3" s="8"/>
      <c r="CW3" s="9"/>
      <c r="CX3" s="8"/>
      <c r="CY3" s="9"/>
      <c r="CZ3" s="9"/>
      <c r="DA3" s="9"/>
      <c r="DB3" s="9"/>
      <c r="DC3" s="9"/>
      <c r="DD3" s="9"/>
      <c r="DE3" s="9"/>
      <c r="DF3" s="9"/>
      <c r="DG3" s="8"/>
      <c r="DH3" s="8"/>
      <c r="DI3" s="9"/>
      <c r="DJ3" s="8"/>
      <c r="DK3" s="9"/>
      <c r="DL3" s="151">
        <v>1</v>
      </c>
      <c r="DM3" s="3"/>
      <c r="DN3" s="4"/>
      <c r="DO3" s="4"/>
      <c r="DP3" s="4"/>
      <c r="DQ3" s="4"/>
      <c r="DR3" s="20"/>
      <c r="DS3" s="5"/>
      <c r="DT3" s="5"/>
      <c r="DU3" s="9"/>
      <c r="DV3" s="34">
        <v>1</v>
      </c>
      <c r="DW3" s="2"/>
      <c r="DX3" s="35"/>
      <c r="DY3" s="5"/>
      <c r="DZ3" s="6"/>
      <c r="EA3" s="8"/>
      <c r="EB3" s="8"/>
      <c r="EC3" s="9"/>
      <c r="ED3" s="9"/>
      <c r="EE3" s="8"/>
      <c r="EF3" s="9"/>
      <c r="EG3" s="8"/>
      <c r="EH3" s="8"/>
      <c r="EI3" s="8"/>
      <c r="EJ3" s="8"/>
      <c r="EK3" s="9"/>
      <c r="EL3" s="8"/>
      <c r="EM3" s="9"/>
      <c r="EN3" s="9"/>
      <c r="EO3" s="9"/>
      <c r="EP3" s="9"/>
      <c r="EQ3" s="9"/>
      <c r="ER3" s="9"/>
      <c r="ES3" s="9"/>
      <c r="ET3" s="9"/>
      <c r="EU3" s="8"/>
      <c r="EV3" s="8"/>
      <c r="EW3" s="9"/>
      <c r="EX3" s="8"/>
    </row>
    <row r="4" spans="2:154" ht="18" customHeight="1">
      <c r="B4" s="72"/>
      <c r="C4" s="90" t="s">
        <v>211</v>
      </c>
      <c r="D4" s="85" t="s">
        <v>212</v>
      </c>
      <c r="E4" s="86" t="s">
        <v>213</v>
      </c>
      <c r="F4" s="85" t="s">
        <v>24</v>
      </c>
      <c r="G4" s="85" t="s">
        <v>25</v>
      </c>
      <c r="H4" s="85" t="s">
        <v>26</v>
      </c>
      <c r="I4" s="85" t="s">
        <v>214</v>
      </c>
      <c r="J4" s="85" t="s">
        <v>215</v>
      </c>
      <c r="K4" s="86" t="s">
        <v>216</v>
      </c>
      <c r="L4" s="86" t="s">
        <v>20</v>
      </c>
      <c r="M4" s="86" t="s">
        <v>14</v>
      </c>
      <c r="N4" s="118" t="s">
        <v>361</v>
      </c>
      <c r="O4" s="118" t="s">
        <v>20</v>
      </c>
      <c r="P4" s="87" t="s">
        <v>24</v>
      </c>
      <c r="Q4" s="87" t="s">
        <v>25</v>
      </c>
      <c r="R4" s="87" t="s">
        <v>26</v>
      </c>
      <c r="S4" s="87" t="s">
        <v>214</v>
      </c>
      <c r="T4" s="88" t="s">
        <v>588</v>
      </c>
      <c r="U4" s="88" t="s">
        <v>21</v>
      </c>
      <c r="V4" s="88" t="s">
        <v>57</v>
      </c>
      <c r="W4" s="88" t="s">
        <v>58</v>
      </c>
      <c r="X4" s="88" t="s">
        <v>59</v>
      </c>
      <c r="Y4" s="88" t="s">
        <v>60</v>
      </c>
      <c r="Z4" s="91" t="s">
        <v>61</v>
      </c>
      <c r="AA4" s="86" t="s">
        <v>277</v>
      </c>
      <c r="AB4" s="86" t="s">
        <v>362</v>
      </c>
      <c r="AC4" s="92" t="s">
        <v>12</v>
      </c>
      <c r="AD4" s="89" t="s">
        <v>32</v>
      </c>
      <c r="AE4" s="79"/>
      <c r="AF4" s="13"/>
      <c r="AG4" s="92" t="s">
        <v>755</v>
      </c>
      <c r="AH4" s="86" t="s">
        <v>756</v>
      </c>
      <c r="AI4" s="86" t="s">
        <v>757</v>
      </c>
      <c r="AJ4" s="86" t="s">
        <v>758</v>
      </c>
      <c r="AK4" s="86" t="s">
        <v>759</v>
      </c>
      <c r="AL4" s="200" t="s">
        <v>760</v>
      </c>
      <c r="AM4" s="198"/>
      <c r="AN4" s="198"/>
      <c r="AO4" s="254" t="s">
        <v>828</v>
      </c>
      <c r="AP4" s="198"/>
      <c r="AQ4" s="198"/>
      <c r="AR4" s="198"/>
      <c r="AS4" s="198"/>
      <c r="AT4" s="254" t="s">
        <v>826</v>
      </c>
      <c r="AU4" s="198"/>
      <c r="AV4" s="198"/>
      <c r="AW4" s="198"/>
      <c r="AX4" s="198"/>
      <c r="AY4" s="198"/>
      <c r="AZ4" s="198"/>
      <c r="BA4" s="254" t="s">
        <v>825</v>
      </c>
      <c r="BB4" s="198"/>
      <c r="BC4" s="198"/>
      <c r="BD4" s="198"/>
      <c r="BE4" s="198"/>
      <c r="BF4" s="198"/>
      <c r="BG4" s="198"/>
      <c r="BH4" s="1"/>
      <c r="BI4" s="11" t="s">
        <v>24</v>
      </c>
      <c r="BJ4" s="11" t="s">
        <v>25</v>
      </c>
      <c r="BK4" s="11" t="s">
        <v>26</v>
      </c>
      <c r="BL4" s="11" t="s">
        <v>19</v>
      </c>
      <c r="BM4" s="12"/>
      <c r="BN4" s="12"/>
      <c r="BO4" s="151">
        <v>2</v>
      </c>
      <c r="BP4" s="55" t="s">
        <v>100</v>
      </c>
      <c r="BQ4" s="56">
        <v>6</v>
      </c>
      <c r="BR4" s="56">
        <v>3</v>
      </c>
      <c r="BS4" s="56">
        <v>3</v>
      </c>
      <c r="BT4" s="56">
        <v>7</v>
      </c>
      <c r="BU4" s="57" t="s">
        <v>74</v>
      </c>
      <c r="BV4" s="58">
        <v>50000</v>
      </c>
      <c r="BW4" s="58" t="s">
        <v>18</v>
      </c>
      <c r="BX4" s="58" t="s">
        <v>70</v>
      </c>
      <c r="BY4" s="58">
        <v>16</v>
      </c>
      <c r="BZ4" s="270" t="s">
        <v>78</v>
      </c>
      <c r="CA4" s="6">
        <v>1</v>
      </c>
      <c r="CB4" s="32" t="s">
        <v>78</v>
      </c>
      <c r="CC4" s="5">
        <v>50000</v>
      </c>
      <c r="CD4" s="32" t="s">
        <v>78</v>
      </c>
      <c r="CE4" s="5">
        <v>1</v>
      </c>
      <c r="CF4" s="5"/>
      <c r="CG4" s="34">
        <f>IF(CH4="","",CG3+1)</f>
        <v>2</v>
      </c>
      <c r="CH4" s="2" t="str">
        <f>IF(CI4=0,"",CI4)</f>
        <v>Linewoman Amazon</v>
      </c>
      <c r="CI4" s="35" t="str">
        <f>HLOOKUP(K$24,CL$4:DJ$23,2,FALSE)</f>
        <v>Linewoman Amazon</v>
      </c>
      <c r="CJ4" s="5"/>
      <c r="CL4" s="32" t="s">
        <v>78</v>
      </c>
      <c r="CM4" s="31" t="s">
        <v>34</v>
      </c>
      <c r="CN4" s="31" t="s">
        <v>86</v>
      </c>
      <c r="CO4" s="31" t="s">
        <v>369</v>
      </c>
      <c r="CP4" s="31" t="s">
        <v>93</v>
      </c>
      <c r="CQ4" s="31" t="s">
        <v>831</v>
      </c>
      <c r="CR4" s="31" t="s">
        <v>107</v>
      </c>
      <c r="CS4" s="32" t="s">
        <v>50</v>
      </c>
      <c r="CT4" s="31" t="s">
        <v>33</v>
      </c>
      <c r="CU4" s="31" t="s">
        <v>35</v>
      </c>
      <c r="CV4" s="31" t="s">
        <v>135</v>
      </c>
      <c r="CW4" s="31" t="s">
        <v>138</v>
      </c>
      <c r="CX4" s="32" t="s">
        <v>49</v>
      </c>
      <c r="CY4" s="32" t="s">
        <v>153</v>
      </c>
      <c r="CZ4" s="32" t="s">
        <v>158</v>
      </c>
      <c r="DA4" s="31" t="s">
        <v>36</v>
      </c>
      <c r="DB4" s="32" t="s">
        <v>51</v>
      </c>
      <c r="DC4" s="32" t="s">
        <v>48</v>
      </c>
      <c r="DD4" s="32" t="s">
        <v>184</v>
      </c>
      <c r="DE4" s="31" t="s">
        <v>37</v>
      </c>
      <c r="DF4" s="32" t="s">
        <v>374</v>
      </c>
      <c r="DG4" s="32" t="s">
        <v>197</v>
      </c>
      <c r="DH4" s="32" t="s">
        <v>390</v>
      </c>
      <c r="DI4" s="32" t="s">
        <v>30</v>
      </c>
      <c r="DJ4" s="31" t="s">
        <v>200</v>
      </c>
      <c r="DK4" s="13"/>
      <c r="DL4" s="151">
        <v>2</v>
      </c>
      <c r="DM4" s="55" t="s">
        <v>594</v>
      </c>
      <c r="DN4" s="56">
        <v>6</v>
      </c>
      <c r="DO4" s="56">
        <v>3</v>
      </c>
      <c r="DP4" s="56">
        <v>3</v>
      </c>
      <c r="DQ4" s="56">
        <v>7</v>
      </c>
      <c r="DR4" s="57" t="s">
        <v>487</v>
      </c>
      <c r="DS4" s="58">
        <v>80000</v>
      </c>
      <c r="DT4" s="270" t="s">
        <v>78</v>
      </c>
      <c r="DU4" s="13"/>
      <c r="DV4" s="34">
        <f>IF(DW4="","",DV3+1)</f>
        <v>2</v>
      </c>
      <c r="DW4" s="2" t="str">
        <f>IF(DX4=0,"",DX4)</f>
        <v>Linewoman Amazon Mercenary</v>
      </c>
      <c r="DX4" s="35" t="str">
        <f>HLOOKUP(K$24,EA$4:EX$11,2,FALSE)</f>
        <v>Linewoman Amazon Mercenary</v>
      </c>
      <c r="DY4" s="5"/>
      <c r="DZ4" s="26"/>
      <c r="EA4" s="32" t="s">
        <v>78</v>
      </c>
      <c r="EB4" s="31" t="s">
        <v>34</v>
      </c>
      <c r="EC4" s="31" t="s">
        <v>86</v>
      </c>
      <c r="ED4" s="31" t="s">
        <v>369</v>
      </c>
      <c r="EE4" s="31" t="s">
        <v>93</v>
      </c>
      <c r="EF4" s="31" t="s">
        <v>107</v>
      </c>
      <c r="EG4" s="32" t="s">
        <v>50</v>
      </c>
      <c r="EH4" s="31" t="s">
        <v>33</v>
      </c>
      <c r="EI4" s="31" t="s">
        <v>35</v>
      </c>
      <c r="EJ4" s="31" t="s">
        <v>135</v>
      </c>
      <c r="EK4" s="31" t="s">
        <v>138</v>
      </c>
      <c r="EL4" s="32" t="s">
        <v>49</v>
      </c>
      <c r="EM4" s="32" t="s">
        <v>153</v>
      </c>
      <c r="EN4" s="32" t="s">
        <v>158</v>
      </c>
      <c r="EO4" s="31" t="s">
        <v>36</v>
      </c>
      <c r="EP4" s="32" t="s">
        <v>51</v>
      </c>
      <c r="EQ4" s="32" t="s">
        <v>48</v>
      </c>
      <c r="ER4" s="32" t="s">
        <v>184</v>
      </c>
      <c r="ES4" s="31" t="s">
        <v>37</v>
      </c>
      <c r="ET4" s="32" t="s">
        <v>374</v>
      </c>
      <c r="EU4" s="32" t="s">
        <v>197</v>
      </c>
      <c r="EV4" s="32" t="s">
        <v>390</v>
      </c>
      <c r="EW4" s="32" t="s">
        <v>30</v>
      </c>
      <c r="EX4" s="31" t="s">
        <v>200</v>
      </c>
    </row>
    <row r="5" spans="2:154" ht="18" customHeight="1">
      <c r="B5" s="72"/>
      <c r="C5" s="137">
        <v>1</v>
      </c>
      <c r="D5" s="125"/>
      <c r="E5" s="48">
        <f>IF(BH5&lt;=1,"",VLOOKUP(BH5,CG:CH,2,FALSE))</f>
      </c>
      <c r="F5" s="49">
        <f>IF(E5&lt;&gt;"",VLOOKUP(E5,$BP:$BV,2,FALSE)+P5+AO5,"")</f>
      </c>
      <c r="G5" s="49">
        <f>IF(E5&lt;&gt;"",VLOOKUP(E5,$BP:$BV,3,FALSE)+Q5+AP5,"")</f>
      </c>
      <c r="H5" s="49">
        <f>IF(E5&lt;&gt;"",VLOOKUP(E5,$BP:$BV,4,FALSE)+R5+AQ5,"")</f>
      </c>
      <c r="I5" s="49">
        <f>IF(E5&lt;&gt;"",VLOOKUP(E5,$BP:$BV,5,FALSE)+S5+AR5,"")</f>
      </c>
      <c r="J5" s="50">
        <f>IF(E5="","",IF(COUNTIF(E5:E20,E5)&gt;VLOOKUP(E5,BP:BY,10,FALSE),"ERRORE! TROPPI GIOCATORI IN QUESTO RUOLO!",VLOOKUP(E5,BP:BV,6,FALSE)))</f>
      </c>
      <c r="K5" s="204">
        <f>IF(AW39=0,IF(AY39&gt;0,"ERRORE!",AG5&amp;AH5&amp;AI5&amp;AJ5&amp;AK5&amp;AL5),AG5&amp;AH5&amp;AI5&amp;AJ5&amp;AK5&amp;AL5)</f>
      </c>
      <c r="L5" s="52">
        <f>IF(Z5="Star","",(IF(E5&lt;&gt;"",VLOOKUP(E5,BP:BX,8,FALSE),"")))</f>
      </c>
      <c r="M5" s="52">
        <f>IF(Z5="Star","",(IF(E5&lt;&gt;"",VLOOKUP(E5,BP:BX,9,FALSE),"")))</f>
      </c>
      <c r="N5" s="119"/>
      <c r="O5" s="119"/>
      <c r="P5" s="119"/>
      <c r="Q5" s="119"/>
      <c r="R5" s="119"/>
      <c r="S5" s="119"/>
      <c r="T5" s="122"/>
      <c r="U5" s="122"/>
      <c r="V5" s="122"/>
      <c r="W5" s="122"/>
      <c r="X5" s="122"/>
      <c r="Y5" s="122"/>
      <c r="Z5" s="98">
        <f aca="true" t="shared" si="0" ref="Z5:Z20">IF(LEFT(E5,1)="*","Star",T5*1+U5*2+V5*1+W5*3+X5*2+Y5*5)</f>
        <v>0</v>
      </c>
      <c r="AA5" s="52">
        <f aca="true" t="shared" si="1" ref="AA5:AA20">IF(Z5="Star","n/a",IF(Z5&gt;=176,"6",IF(Z5&gt;=76,"5",IF(Z5&gt;=51,"4",IF(Z5&gt;=31,"3",IF(Z5&gt;=16,"2",IF(Z5&gt;=6,"1","")))))))</f>
      </c>
      <c r="AB5" s="247">
        <f>IF(ISNUMBER(FIND(BA39,L5)),20,0)+IF(ISNUMBER(FIND(BB39,L5)),20,0)+IF(ISNUMBER(FIND(BC39,L5)),20,0)+IF(ISNUMBER(FIND(BD39,L5)),20,0)+IF(ISNUMBER(FIND(BE39,L5)),20,0)+IF(ISNUMBER(FIND(BF39,L5)),20,0)+IF(ISNUMBER(FIND(BA39,M5)),30,0)+IF(ISNUMBER(FIND(BB39,M5)),30,0)+IF(ISNUMBER(FIND(BC39,M5)),30,0)+IF(ISNUMBER(FIND(BD39,M5)),30,0)+IF(ISNUMBER(FIND(BE39,M5)),30,0)+IF(ISNUMBER(FIND(BF39,M5)),30,0)+SUM(BA39:BF39)</f>
        <v>0</v>
      </c>
      <c r="AC5" s="128">
        <f>IF(N5&lt;&gt;"",(IF(N5="M",BM5)),(""))</f>
      </c>
      <c r="AD5" s="129">
        <f aca="true" t="shared" si="2" ref="AD5:AD20">IF(N5&lt;&gt;"",(IF(N5="M","")),(BM5))</f>
        <v>0</v>
      </c>
      <c r="AE5" s="80"/>
      <c r="AF5" s="1"/>
      <c r="AG5" s="214">
        <f>IF(AT5&gt;1,VLOOKUP(AT5,$AG$43:$AH$104,2),"")</f>
      </c>
      <c r="AH5" s="215">
        <f aca="true" t="shared" si="3" ref="AH5:AH20">IF(AU5&gt;1,IF(AG5&lt;&gt;"",", ","")&amp;VLOOKUP(AU5,$AG$43:$AH$104,2),"")</f>
      </c>
      <c r="AI5" s="215">
        <f aca="true" t="shared" si="4" ref="AI5:AI20">IF(AV5&gt;1,IF(AG5&amp;AH5&lt;&gt;"",", ","")&amp;VLOOKUP(AV5,$AG$43:$AH$104,2),"")</f>
      </c>
      <c r="AJ5" s="215">
        <f aca="true" t="shared" si="5" ref="AJ5:AJ20">IF(AW5&gt;1,IF(AG5&amp;AH5&amp;AI5&lt;&gt;"",", ","")&amp;VLOOKUP(AW5,$AG$43:$AH$104,2),"")</f>
      </c>
      <c r="AK5" s="215">
        <f aca="true" t="shared" si="6" ref="AK5:AK20">IF(AX5&gt;1,IF(AG5&amp;AH5&amp;AI5&amp;AJ5&lt;&gt;"",", ","")&amp;VLOOKUP(AX5,$AG$43:$AH$104,2),"")</f>
      </c>
      <c r="AL5" s="216">
        <f aca="true" t="shared" si="7" ref="AL5:AL20">IF(AY5&gt;1,IF(AG5&amp;AH5&amp;AI5&amp;AJ5&amp;AK5&lt;&gt;"",", ","")&amp;VLOOKUP(AY5,$AG$43:$AH$104,2),"")</f>
      </c>
      <c r="AM5" s="199"/>
      <c r="AN5" s="199"/>
      <c r="AO5" s="206">
        <f>COUNTIF(AT22:AY22,1)</f>
        <v>0</v>
      </c>
      <c r="AP5" s="207">
        <f>COUNTIF(AT22:AY22,2)</f>
        <v>0</v>
      </c>
      <c r="AQ5" s="207">
        <f>COUNTIF(AT22:AY22,3)</f>
        <v>0</v>
      </c>
      <c r="AR5" s="208">
        <f>COUNTIF(AT22:AY22,4)</f>
        <v>0</v>
      </c>
      <c r="AS5" s="199"/>
      <c r="AT5" s="206">
        <v>1</v>
      </c>
      <c r="AU5" s="207">
        <v>1</v>
      </c>
      <c r="AV5" s="207">
        <v>1</v>
      </c>
      <c r="AW5" s="207">
        <v>1</v>
      </c>
      <c r="AX5" s="207">
        <v>1</v>
      </c>
      <c r="AY5" s="208">
        <v>1</v>
      </c>
      <c r="AZ5" s="199"/>
      <c r="BA5" s="220">
        <f>IF(AT5&gt;1,VLOOKUP(AT5,$AG$43:$AH$104,2),"")</f>
      </c>
      <c r="BB5" s="221">
        <f aca="true" t="shared" si="8" ref="BB5:BB20">IF(AU5&gt;1,VLOOKUP(AU5,$AG$43:$AH$104,2),"")</f>
      </c>
      <c r="BC5" s="221">
        <f aca="true" t="shared" si="9" ref="BC5:BC20">IF(AV5&gt;1,VLOOKUP(AV5,$AG$43:$AH$104,2),"")</f>
      </c>
      <c r="BD5" s="221">
        <f aca="true" t="shared" si="10" ref="BD5:BD20">IF(AW5&gt;1,VLOOKUP(AW5,$AG$43:$AH$104,2),"")</f>
      </c>
      <c r="BE5" s="221">
        <f aca="true" t="shared" si="11" ref="BE5:BE20">IF(AX5&gt;1,VLOOKUP(AX5,$AG$43:$AH$104,2),"")</f>
      </c>
      <c r="BF5" s="222">
        <f aca="true" t="shared" si="12" ref="BF5:BF20">IF(AY5&gt;1,VLOOKUP(AY5,$AG$43:$AH$104,2),"")</f>
      </c>
      <c r="BG5" s="199"/>
      <c r="BH5" s="16">
        <v>1</v>
      </c>
      <c r="BI5" s="12" t="e">
        <f>VLOOKUP(E5,$BP:$BV,2,FALSE)</f>
        <v>#N/A</v>
      </c>
      <c r="BJ5" s="12" t="e">
        <f>VLOOKUP(E5,$BP:$BV,3,FALSE)</f>
        <v>#N/A</v>
      </c>
      <c r="BK5" s="12" t="e">
        <f>VLOOKUP(E5,$BP:$BV,4,FALSE)</f>
        <v>#N/A</v>
      </c>
      <c r="BL5" s="12" t="e">
        <f>VLOOKUP(E5,$BP:$BV,5,FALSE)</f>
        <v>#N/A</v>
      </c>
      <c r="BM5" s="7">
        <f>(IF(E5&lt;&gt;"",VLOOKUP(E5,BP:BV,7,FALSE),"0")+(AB5*1000))</f>
        <v>0</v>
      </c>
      <c r="BN5" s="7"/>
      <c r="BO5" s="151">
        <v>3</v>
      </c>
      <c r="BP5" s="3" t="s">
        <v>101</v>
      </c>
      <c r="BQ5" s="4">
        <v>6</v>
      </c>
      <c r="BR5" s="4">
        <v>3</v>
      </c>
      <c r="BS5" s="4">
        <v>3</v>
      </c>
      <c r="BT5" s="4">
        <v>7</v>
      </c>
      <c r="BU5" s="20" t="s">
        <v>75</v>
      </c>
      <c r="BV5" s="5">
        <v>70000</v>
      </c>
      <c r="BW5" s="5" t="s">
        <v>67</v>
      </c>
      <c r="BX5" s="5" t="s">
        <v>71</v>
      </c>
      <c r="BY5" s="5">
        <v>2</v>
      </c>
      <c r="BZ5" s="271"/>
      <c r="CA5" s="6">
        <v>2</v>
      </c>
      <c r="CB5" s="31" t="s">
        <v>34</v>
      </c>
      <c r="CC5" s="5">
        <v>60000</v>
      </c>
      <c r="CD5" s="31" t="s">
        <v>34</v>
      </c>
      <c r="CE5" s="5">
        <v>1</v>
      </c>
      <c r="CF5" s="5"/>
      <c r="CG5" s="34">
        <f aca="true" t="shared" si="13" ref="CG5:CG22">IF(CH5="","",CG4+1)</f>
        <v>3</v>
      </c>
      <c r="CH5" s="2" t="str">
        <f aca="true" t="shared" si="14" ref="CH5:CH22">IF(CI5=0,"",CI5)</f>
        <v>Thrower Amazon</v>
      </c>
      <c r="CI5" s="35" t="str">
        <f>HLOOKUP(K$24,CL$4:DJ$23,3,FALSE)</f>
        <v>Thrower Amazon</v>
      </c>
      <c r="CJ5" s="5"/>
      <c r="CL5" s="3" t="s">
        <v>100</v>
      </c>
      <c r="CM5" s="14" t="s">
        <v>79</v>
      </c>
      <c r="CN5" s="14" t="s">
        <v>46</v>
      </c>
      <c r="CO5" s="14" t="s">
        <v>363</v>
      </c>
      <c r="CP5" s="3" t="s">
        <v>104</v>
      </c>
      <c r="CQ5" s="3" t="s">
        <v>746</v>
      </c>
      <c r="CR5" s="14" t="s">
        <v>108</v>
      </c>
      <c r="CS5" s="3" t="s">
        <v>116</v>
      </c>
      <c r="CT5" s="3" t="s">
        <v>33</v>
      </c>
      <c r="CU5" s="14" t="s">
        <v>35</v>
      </c>
      <c r="CV5" s="3" t="s">
        <v>131</v>
      </c>
      <c r="CW5" s="3" t="s">
        <v>139</v>
      </c>
      <c r="CX5" s="3" t="s">
        <v>485</v>
      </c>
      <c r="CY5" s="3" t="s">
        <v>154</v>
      </c>
      <c r="CZ5" s="3" t="s">
        <v>482</v>
      </c>
      <c r="DA5" s="14" t="s">
        <v>165</v>
      </c>
      <c r="DB5" s="3" t="s">
        <v>172</v>
      </c>
      <c r="DC5" s="3" t="s">
        <v>16</v>
      </c>
      <c r="DD5" s="3" t="s">
        <v>185</v>
      </c>
      <c r="DE5" s="3" t="s">
        <v>189</v>
      </c>
      <c r="DF5" s="3" t="s">
        <v>375</v>
      </c>
      <c r="DG5" s="3" t="s">
        <v>147</v>
      </c>
      <c r="DH5" s="3" t="s">
        <v>381</v>
      </c>
      <c r="DI5" s="3" t="s">
        <v>31</v>
      </c>
      <c r="DJ5" s="3" t="s">
        <v>201</v>
      </c>
      <c r="DK5" s="9"/>
      <c r="DL5" s="151">
        <v>3</v>
      </c>
      <c r="DM5" s="3" t="s">
        <v>595</v>
      </c>
      <c r="DN5" s="4">
        <v>6</v>
      </c>
      <c r="DO5" s="4">
        <v>3</v>
      </c>
      <c r="DP5" s="4">
        <v>3</v>
      </c>
      <c r="DQ5" s="4">
        <v>7</v>
      </c>
      <c r="DR5" s="20" t="s">
        <v>699</v>
      </c>
      <c r="DS5" s="5">
        <v>100000</v>
      </c>
      <c r="DT5" s="271"/>
      <c r="DU5" s="9"/>
      <c r="DV5" s="34">
        <f aca="true" t="shared" si="15" ref="DV5:DV11">IF(DW5="","",DV4+1)</f>
        <v>3</v>
      </c>
      <c r="DW5" s="2" t="str">
        <f>IF(DX5=0,"",DX5)</f>
        <v>Thrower Amazon Mercenary</v>
      </c>
      <c r="DX5" s="35" t="str">
        <f>HLOOKUP(K$24,EA$4:EX$11,3,FALSE)</f>
        <v>Thrower Amazon Mercenary</v>
      </c>
      <c r="DY5" s="5"/>
      <c r="DZ5" s="26"/>
      <c r="EA5" s="3" t="s">
        <v>594</v>
      </c>
      <c r="EB5" s="14" t="s">
        <v>598</v>
      </c>
      <c r="EC5" s="14" t="s">
        <v>601</v>
      </c>
      <c r="ED5" s="14" t="s">
        <v>605</v>
      </c>
      <c r="EE5" s="3" t="s">
        <v>612</v>
      </c>
      <c r="EF5" s="14" t="s">
        <v>617</v>
      </c>
      <c r="EG5" s="3" t="s">
        <v>622</v>
      </c>
      <c r="EH5" s="3" t="s">
        <v>626</v>
      </c>
      <c r="EI5" s="14" t="s">
        <v>632</v>
      </c>
      <c r="EJ5" s="3" t="s">
        <v>634</v>
      </c>
      <c r="EK5" s="3" t="s">
        <v>638</v>
      </c>
      <c r="EL5" s="3" t="s">
        <v>643</v>
      </c>
      <c r="EM5" s="3" t="s">
        <v>647</v>
      </c>
      <c r="EN5" s="3" t="s">
        <v>650</v>
      </c>
      <c r="EO5" s="14" t="s">
        <v>655</v>
      </c>
      <c r="EP5" s="3" t="s">
        <v>661</v>
      </c>
      <c r="EQ5" s="3" t="s">
        <v>665</v>
      </c>
      <c r="ER5" s="3" t="s">
        <v>667</v>
      </c>
      <c r="ES5" s="3" t="s">
        <v>673</v>
      </c>
      <c r="ET5" s="3" t="s">
        <v>678</v>
      </c>
      <c r="EU5" s="3" t="s">
        <v>682</v>
      </c>
      <c r="EV5" s="3" t="s">
        <v>694</v>
      </c>
      <c r="EW5" s="3" t="s">
        <v>692</v>
      </c>
      <c r="EX5" s="3" t="s">
        <v>687</v>
      </c>
    </row>
    <row r="6" spans="2:154" ht="18" customHeight="1">
      <c r="B6" s="72"/>
      <c r="C6" s="138">
        <v>2</v>
      </c>
      <c r="D6" s="126"/>
      <c r="E6" s="43">
        <f>IF(BH6&lt;=1,"",VLOOKUP(BH6,CG:CH,2,FALSE))</f>
      </c>
      <c r="F6" s="49">
        <f>IF(E6&lt;&gt;"",VLOOKUP(E6,$BP:$BV,2,FALSE)+P6+AO6,"")</f>
      </c>
      <c r="G6" s="49">
        <f>IF(E6&lt;&gt;"",VLOOKUP(E6,$BP:$BV,3,FALSE)+Q6+AP6,"")</f>
      </c>
      <c r="H6" s="49">
        <f>IF(E6&lt;&gt;"",VLOOKUP(E6,$BP:$BV,4,FALSE)+R6+AQ6,"")</f>
      </c>
      <c r="I6" s="49">
        <f>IF(E6&lt;&gt;"",VLOOKUP(E6,$BP:$BV,5,FALSE)+S6+AR6,"")</f>
      </c>
      <c r="J6" s="45">
        <f>IF(E6="","",IF(COUNTIF(E5:E20,E6)&gt;VLOOKUP(E6,BP:BY,10,FALSE),"ERRORE! TROPPI GIOCATORI IN QUESTO RUOLO!",VLOOKUP(E6,BP:BV,6,FALSE)))</f>
      </c>
      <c r="K6" s="204">
        <f aca="true" t="shared" si="16" ref="K6:K20">IF(AW40=0,IF(AY40&gt;0,"ERRORE!",AG6&amp;AH6&amp;AI6&amp;AJ6&amp;AK6&amp;AL6),AG6&amp;AH6&amp;AI6&amp;AJ6&amp;AK6&amp;AL6)</f>
      </c>
      <c r="L6" s="47">
        <f>IF(Z6="Star","",(IF(E6&lt;&gt;"",VLOOKUP(E6,BP:BX,8,FALSE),"")))</f>
      </c>
      <c r="M6" s="47">
        <f>IF(Z6="Star","",(IF(E6&lt;&gt;"",VLOOKUP(E6,BP:BX,9,FALSE),"")))</f>
      </c>
      <c r="N6" s="120"/>
      <c r="O6" s="120"/>
      <c r="P6" s="119"/>
      <c r="Q6" s="119"/>
      <c r="R6" s="119"/>
      <c r="S6" s="119"/>
      <c r="T6" s="123"/>
      <c r="U6" s="123"/>
      <c r="V6" s="123"/>
      <c r="W6" s="123"/>
      <c r="X6" s="123"/>
      <c r="Y6" s="123"/>
      <c r="Z6" s="98">
        <f t="shared" si="0"/>
        <v>0</v>
      </c>
      <c r="AA6" s="52">
        <f t="shared" si="1"/>
      </c>
      <c r="AB6" s="247">
        <f aca="true" t="shared" si="17" ref="AB6:AB20">IF(ISNUMBER(FIND(BA40,L6)),20,0)+IF(ISNUMBER(FIND(BB40,L6)),20,0)+IF(ISNUMBER(FIND(BC40,L6)),20,0)+IF(ISNUMBER(FIND(BD40,L6)),20,0)+IF(ISNUMBER(FIND(BE40,L6)),20,0)+IF(ISNUMBER(FIND(BF40,L6)),20,0)+IF(ISNUMBER(FIND(BA40,M6)),30,0)+IF(ISNUMBER(FIND(BB40,M6)),30,0)+IF(ISNUMBER(FIND(BC40,M6)),30,0)+IF(ISNUMBER(FIND(BD40,M6)),30,0)+IF(ISNUMBER(FIND(BE40,M6)),30,0)+IF(ISNUMBER(FIND(BF40,M6)),30,0)+SUM(BA40:BF40)</f>
        <v>0</v>
      </c>
      <c r="AC6" s="128">
        <f aca="true" t="shared" si="18" ref="AC6:AC20">IF(N6&lt;&gt;"",(IF(N6="M",BM6,(IF(N6="N/M",BM6,(IF(N6="N","")))))),(""))</f>
      </c>
      <c r="AD6" s="129">
        <f t="shared" si="2"/>
        <v>0</v>
      </c>
      <c r="AE6" s="80"/>
      <c r="AF6" s="1"/>
      <c r="AG6" s="214">
        <f aca="true" t="shared" si="19" ref="AG6:AG20">IF(AT6&gt;1,VLOOKUP(AT6,$AG$43:$AH$104,2),"")</f>
      </c>
      <c r="AH6" s="215">
        <f t="shared" si="3"/>
      </c>
      <c r="AI6" s="215">
        <f t="shared" si="4"/>
      </c>
      <c r="AJ6" s="215">
        <f t="shared" si="5"/>
      </c>
      <c r="AK6" s="215">
        <f t="shared" si="6"/>
      </c>
      <c r="AL6" s="216">
        <f t="shared" si="7"/>
      </c>
      <c r="AM6" s="199"/>
      <c r="AN6" s="199"/>
      <c r="AO6" s="206">
        <f aca="true" t="shared" si="20" ref="AO6:AO20">COUNTIF(AT23:AY23,1)</f>
        <v>0</v>
      </c>
      <c r="AP6" s="207">
        <f aca="true" t="shared" si="21" ref="AP6:AP20">COUNTIF(AT23:AY23,2)</f>
        <v>0</v>
      </c>
      <c r="AQ6" s="207">
        <f aca="true" t="shared" si="22" ref="AQ6:AQ20">COUNTIF(AT23:AY23,3)</f>
        <v>0</v>
      </c>
      <c r="AR6" s="208">
        <f aca="true" t="shared" si="23" ref="AR6:AR20">COUNTIF(AT23:AY23,4)</f>
        <v>0</v>
      </c>
      <c r="AS6" s="199"/>
      <c r="AT6" s="209">
        <v>1</v>
      </c>
      <c r="AU6" s="205">
        <v>1</v>
      </c>
      <c r="AV6" s="205">
        <v>1</v>
      </c>
      <c r="AW6" s="205">
        <v>1</v>
      </c>
      <c r="AX6" s="205">
        <v>1</v>
      </c>
      <c r="AY6" s="210">
        <v>1</v>
      </c>
      <c r="AZ6" s="199"/>
      <c r="BA6" s="223">
        <f aca="true" t="shared" si="24" ref="BA6:BA20">IF(AT6&gt;1,VLOOKUP(AT6,$AG$43:$AH$104,2),"")</f>
      </c>
      <c r="BB6" s="224">
        <f t="shared" si="8"/>
      </c>
      <c r="BC6" s="224">
        <f t="shared" si="9"/>
      </c>
      <c r="BD6" s="224">
        <f t="shared" si="10"/>
      </c>
      <c r="BE6" s="224">
        <f t="shared" si="11"/>
      </c>
      <c r="BF6" s="225">
        <f t="shared" si="12"/>
      </c>
      <c r="BG6" s="199"/>
      <c r="BH6" s="16">
        <v>1</v>
      </c>
      <c r="BI6" s="12" t="e">
        <f>VLOOKUP(E6,$BP:$BV,2,FALSE)</f>
        <v>#N/A</v>
      </c>
      <c r="BJ6" s="12" t="e">
        <f>VLOOKUP(E6,$BP:$BV,3,FALSE)</f>
        <v>#N/A</v>
      </c>
      <c r="BK6" s="12" t="e">
        <f>VLOOKUP(E6,$BP:$BV,4,FALSE)</f>
        <v>#N/A</v>
      </c>
      <c r="BL6" s="12" t="e">
        <f>VLOOKUP(E6,$BP:$BV,5,FALSE)</f>
        <v>#N/A</v>
      </c>
      <c r="BM6" s="7">
        <f>(IF(E6&lt;&gt;"",VLOOKUP(E6,BP:BV,7,FALSE),"0")+(AB6*1000))</f>
        <v>0</v>
      </c>
      <c r="BN6" s="7"/>
      <c r="BO6" s="151">
        <v>4</v>
      </c>
      <c r="BP6" s="3" t="s">
        <v>102</v>
      </c>
      <c r="BQ6" s="4">
        <v>6</v>
      </c>
      <c r="BR6" s="4">
        <v>3</v>
      </c>
      <c r="BS6" s="4">
        <v>3</v>
      </c>
      <c r="BT6" s="4">
        <v>7</v>
      </c>
      <c r="BU6" s="20" t="s">
        <v>76</v>
      </c>
      <c r="BV6" s="5">
        <v>70000</v>
      </c>
      <c r="BW6" s="5" t="s">
        <v>69</v>
      </c>
      <c r="BX6" s="5" t="s">
        <v>72</v>
      </c>
      <c r="BY6" s="5">
        <v>2</v>
      </c>
      <c r="BZ6" s="271"/>
      <c r="CA6" s="6">
        <v>3</v>
      </c>
      <c r="CB6" s="31" t="s">
        <v>86</v>
      </c>
      <c r="CC6" s="5">
        <v>70000</v>
      </c>
      <c r="CD6" s="31" t="s">
        <v>86</v>
      </c>
      <c r="CE6" s="5">
        <v>1</v>
      </c>
      <c r="CF6" s="5"/>
      <c r="CG6" s="34">
        <f t="shared" si="13"/>
        <v>4</v>
      </c>
      <c r="CH6" s="2" t="str">
        <f t="shared" si="14"/>
        <v>Catcher Amazon</v>
      </c>
      <c r="CI6" s="35" t="str">
        <f>HLOOKUP(K$24,CL$4:DJ$23,4,FALSE)</f>
        <v>Catcher Amazon</v>
      </c>
      <c r="CJ6" s="5"/>
      <c r="CL6" s="3" t="s">
        <v>101</v>
      </c>
      <c r="CM6" s="14" t="s">
        <v>80</v>
      </c>
      <c r="CN6" s="14" t="s">
        <v>87</v>
      </c>
      <c r="CO6" s="14" t="s">
        <v>364</v>
      </c>
      <c r="CP6" s="3" t="s">
        <v>105</v>
      </c>
      <c r="CQ6" s="3" t="s">
        <v>748</v>
      </c>
      <c r="CR6" s="14" t="s">
        <v>109</v>
      </c>
      <c r="CS6" s="3" t="s">
        <v>117</v>
      </c>
      <c r="CT6" s="3" t="s">
        <v>122</v>
      </c>
      <c r="CU6" s="3" t="s">
        <v>130</v>
      </c>
      <c r="CV6" s="3" t="s">
        <v>132</v>
      </c>
      <c r="CW6" s="3" t="s">
        <v>141</v>
      </c>
      <c r="CX6" s="3" t="s">
        <v>52</v>
      </c>
      <c r="CY6" s="3" t="s">
        <v>157</v>
      </c>
      <c r="CZ6" s="3" t="s">
        <v>483</v>
      </c>
      <c r="DA6" s="14" t="s">
        <v>166</v>
      </c>
      <c r="DB6" s="3" t="s">
        <v>173</v>
      </c>
      <c r="DC6" s="3" t="s">
        <v>182</v>
      </c>
      <c r="DD6" s="3" t="s">
        <v>480</v>
      </c>
      <c r="DE6" s="3" t="s">
        <v>190</v>
      </c>
      <c r="DF6" s="3" t="s">
        <v>376</v>
      </c>
      <c r="DG6" s="14" t="s">
        <v>159</v>
      </c>
      <c r="DH6" s="14" t="s">
        <v>382</v>
      </c>
      <c r="DI6" s="3" t="s">
        <v>30</v>
      </c>
      <c r="DJ6" s="3" t="s">
        <v>203</v>
      </c>
      <c r="DK6" s="9"/>
      <c r="DL6" s="151">
        <v>4</v>
      </c>
      <c r="DM6" s="3" t="s">
        <v>596</v>
      </c>
      <c r="DN6" s="4">
        <v>6</v>
      </c>
      <c r="DO6" s="4">
        <v>3</v>
      </c>
      <c r="DP6" s="4">
        <v>3</v>
      </c>
      <c r="DQ6" s="4">
        <v>7</v>
      </c>
      <c r="DR6" s="20" t="s">
        <v>700</v>
      </c>
      <c r="DS6" s="5">
        <v>100000</v>
      </c>
      <c r="DT6" s="271"/>
      <c r="DU6" s="9"/>
      <c r="DV6" s="34">
        <f t="shared" si="15"/>
        <v>4</v>
      </c>
      <c r="DW6" s="2" t="str">
        <f>IF(DX6=0,"",DX6)</f>
        <v>Catcher Amazon Mercenary</v>
      </c>
      <c r="DX6" s="35" t="str">
        <f>HLOOKUP(K$24,EA$4:EX$11,4,FALSE)</f>
        <v>Catcher Amazon Mercenary</v>
      </c>
      <c r="DY6" s="5"/>
      <c r="DZ6" s="26"/>
      <c r="EA6" s="3" t="s">
        <v>595</v>
      </c>
      <c r="EB6" s="14" t="s">
        <v>599</v>
      </c>
      <c r="EC6" s="14" t="s">
        <v>602</v>
      </c>
      <c r="ED6" s="14" t="s">
        <v>606</v>
      </c>
      <c r="EE6" s="3" t="s">
        <v>613</v>
      </c>
      <c r="EF6" s="14" t="s">
        <v>618</v>
      </c>
      <c r="EG6" s="3" t="s">
        <v>623</v>
      </c>
      <c r="EH6" s="3" t="s">
        <v>627</v>
      </c>
      <c r="EI6" s="3" t="s">
        <v>633</v>
      </c>
      <c r="EJ6" s="3" t="s">
        <v>635</v>
      </c>
      <c r="EK6" s="3" t="s">
        <v>639</v>
      </c>
      <c r="EL6" s="3" t="s">
        <v>644</v>
      </c>
      <c r="EM6" s="3" t="s">
        <v>648</v>
      </c>
      <c r="EN6" s="3" t="s">
        <v>651</v>
      </c>
      <c r="EO6" s="14" t="s">
        <v>656</v>
      </c>
      <c r="EP6" s="3" t="s">
        <v>662</v>
      </c>
      <c r="EQ6" s="3" t="s">
        <v>666</v>
      </c>
      <c r="ER6" s="3" t="s">
        <v>668</v>
      </c>
      <c r="ES6" s="3" t="s">
        <v>674</v>
      </c>
      <c r="ET6" s="3" t="s">
        <v>679</v>
      </c>
      <c r="EU6" s="14" t="s">
        <v>683</v>
      </c>
      <c r="EV6" s="14" t="s">
        <v>695</v>
      </c>
      <c r="EW6" s="3" t="s">
        <v>693</v>
      </c>
      <c r="EX6" s="3" t="s">
        <v>688</v>
      </c>
    </row>
    <row r="7" spans="2:154" ht="18" customHeight="1">
      <c r="B7" s="72"/>
      <c r="C7" s="138">
        <v>3</v>
      </c>
      <c r="D7" s="126"/>
      <c r="E7" s="43">
        <f>IF(BH7&lt;=1,"",VLOOKUP(BH7,CG:CH,2,FALSE))</f>
      </c>
      <c r="F7" s="49">
        <f>IF(E7&lt;&gt;"",VLOOKUP(E7,$BP:$BV,2,FALSE)+P7+AO7,"")</f>
      </c>
      <c r="G7" s="49">
        <f>IF(E7&lt;&gt;"",VLOOKUP(E7,$BP:$BV,3,FALSE)+Q7+AP7,"")</f>
      </c>
      <c r="H7" s="49">
        <f>IF(E7&lt;&gt;"",VLOOKUP(E7,$BP:$BV,4,FALSE)+R7+AQ7,"")</f>
      </c>
      <c r="I7" s="49">
        <f>IF(E7&lt;&gt;"",VLOOKUP(E7,$BP:$BV,5,FALSE)+S7+AR7,"")</f>
      </c>
      <c r="J7" s="45">
        <f>IF(E7="","",IF(COUNTIF(E5:E20,E7)&gt;VLOOKUP(E7,BP:BY,10,FALSE),"ERRORE! TROPPI GIOCATORI IN QUESTO RUOLO!",VLOOKUP(E7,BP:BV,6,FALSE)))</f>
      </c>
      <c r="K7" s="204">
        <f t="shared" si="16"/>
      </c>
      <c r="L7" s="47">
        <f>IF(Z7="Star","",(IF(E7&lt;&gt;"",VLOOKUP(E7,BP:BX,8,FALSE),"")))</f>
      </c>
      <c r="M7" s="47">
        <f>IF(Z7="Star","",(IF(E7&lt;&gt;"",VLOOKUP(E7,BP:BX,9,FALSE),"")))</f>
      </c>
      <c r="N7" s="120"/>
      <c r="O7" s="120"/>
      <c r="P7" s="119"/>
      <c r="Q7" s="119"/>
      <c r="R7" s="119"/>
      <c r="S7" s="119"/>
      <c r="T7" s="123"/>
      <c r="U7" s="123"/>
      <c r="V7" s="123"/>
      <c r="W7" s="123"/>
      <c r="X7" s="123"/>
      <c r="Y7" s="123"/>
      <c r="Z7" s="98">
        <f t="shared" si="0"/>
        <v>0</v>
      </c>
      <c r="AA7" s="52">
        <f t="shared" si="1"/>
      </c>
      <c r="AB7" s="247">
        <f t="shared" si="17"/>
        <v>0</v>
      </c>
      <c r="AC7" s="128">
        <f t="shared" si="18"/>
      </c>
      <c r="AD7" s="129">
        <f t="shared" si="2"/>
        <v>0</v>
      </c>
      <c r="AE7" s="80"/>
      <c r="AF7" s="1"/>
      <c r="AG7" s="214">
        <f t="shared" si="19"/>
      </c>
      <c r="AH7" s="215">
        <f t="shared" si="3"/>
      </c>
      <c r="AI7" s="215">
        <f t="shared" si="4"/>
      </c>
      <c r="AJ7" s="215">
        <f t="shared" si="5"/>
      </c>
      <c r="AK7" s="215">
        <f t="shared" si="6"/>
      </c>
      <c r="AL7" s="216">
        <f t="shared" si="7"/>
      </c>
      <c r="AM7" s="199"/>
      <c r="AN7" s="199"/>
      <c r="AO7" s="206">
        <f t="shared" si="20"/>
        <v>0</v>
      </c>
      <c r="AP7" s="207">
        <f t="shared" si="21"/>
        <v>0</v>
      </c>
      <c r="AQ7" s="207">
        <f t="shared" si="22"/>
        <v>0</v>
      </c>
      <c r="AR7" s="208">
        <f t="shared" si="23"/>
        <v>0</v>
      </c>
      <c r="AS7" s="199"/>
      <c r="AT7" s="209">
        <v>1</v>
      </c>
      <c r="AU7" s="205">
        <v>1</v>
      </c>
      <c r="AV7" s="205">
        <v>1</v>
      </c>
      <c r="AW7" s="205">
        <v>1</v>
      </c>
      <c r="AX7" s="205">
        <v>1</v>
      </c>
      <c r="AY7" s="210">
        <v>1</v>
      </c>
      <c r="AZ7" s="199"/>
      <c r="BA7" s="223">
        <f t="shared" si="24"/>
      </c>
      <c r="BB7" s="224">
        <f t="shared" si="8"/>
      </c>
      <c r="BC7" s="224">
        <f t="shared" si="9"/>
      </c>
      <c r="BD7" s="224">
        <f t="shared" si="10"/>
      </c>
      <c r="BE7" s="224">
        <f t="shared" si="11"/>
      </c>
      <c r="BF7" s="225">
        <f t="shared" si="12"/>
      </c>
      <c r="BG7" s="199"/>
      <c r="BH7" s="16">
        <v>1</v>
      </c>
      <c r="BI7" s="12" t="e">
        <f>VLOOKUP(E7,$BP:$BV,2,FALSE)</f>
        <v>#N/A</v>
      </c>
      <c r="BJ7" s="12" t="e">
        <f>VLOOKUP(E7,$BP:$BV,3,FALSE)</f>
        <v>#N/A</v>
      </c>
      <c r="BK7" s="12" t="e">
        <f>VLOOKUP(E7,$BP:$BV,4,FALSE)</f>
        <v>#N/A</v>
      </c>
      <c r="BL7" s="12" t="e">
        <f>VLOOKUP(E7,$BP:$BV,5,FALSE)</f>
        <v>#N/A</v>
      </c>
      <c r="BM7" s="7">
        <f>(IF(E7&lt;&gt;"",VLOOKUP(E7,BP:BV,7,FALSE),"0")+(AB7*1000))</f>
        <v>0</v>
      </c>
      <c r="BN7" s="7"/>
      <c r="BO7" s="151">
        <v>5</v>
      </c>
      <c r="BP7" s="59" t="s">
        <v>103</v>
      </c>
      <c r="BQ7" s="60">
        <v>6</v>
      </c>
      <c r="BR7" s="60">
        <v>3</v>
      </c>
      <c r="BS7" s="60">
        <v>3</v>
      </c>
      <c r="BT7" s="60">
        <v>7</v>
      </c>
      <c r="BU7" s="61" t="s">
        <v>77</v>
      </c>
      <c r="BV7" s="62">
        <v>90000</v>
      </c>
      <c r="BW7" s="62" t="s">
        <v>73</v>
      </c>
      <c r="BX7" s="62" t="s">
        <v>68</v>
      </c>
      <c r="BY7" s="62">
        <v>4</v>
      </c>
      <c r="BZ7" s="272"/>
      <c r="CA7" s="6">
        <v>4</v>
      </c>
      <c r="CB7" s="31" t="s">
        <v>369</v>
      </c>
      <c r="CC7" s="5">
        <v>70000</v>
      </c>
      <c r="CD7" s="31" t="s">
        <v>369</v>
      </c>
      <c r="CE7" s="5">
        <v>1</v>
      </c>
      <c r="CF7" s="5"/>
      <c r="CG7" s="34">
        <f t="shared" si="13"/>
        <v>5</v>
      </c>
      <c r="CH7" s="2" t="str">
        <f t="shared" si="14"/>
        <v>Blitzer Amazon</v>
      </c>
      <c r="CI7" s="35" t="str">
        <f>HLOOKUP(K$24,CL$4:DJ$23,5,FALSE)</f>
        <v>Blitzer Amazon</v>
      </c>
      <c r="CJ7" s="5"/>
      <c r="CL7" s="3" t="s">
        <v>102</v>
      </c>
      <c r="CM7" s="3" t="s">
        <v>81</v>
      </c>
      <c r="CN7" s="14" t="s">
        <v>89</v>
      </c>
      <c r="CO7" s="14" t="s">
        <v>365</v>
      </c>
      <c r="CP7" s="3" t="s">
        <v>96</v>
      </c>
      <c r="CQ7" s="3" t="s">
        <v>750</v>
      </c>
      <c r="CR7" s="14" t="s">
        <v>110</v>
      </c>
      <c r="CS7" s="3" t="s">
        <v>118</v>
      </c>
      <c r="CT7" s="3" t="s">
        <v>124</v>
      </c>
      <c r="CU7" s="3" t="s">
        <v>406</v>
      </c>
      <c r="CV7" s="3" t="s">
        <v>133</v>
      </c>
      <c r="CW7" s="3" t="s">
        <v>140</v>
      </c>
      <c r="CX7" s="3" t="s">
        <v>53</v>
      </c>
      <c r="CY7" s="3" t="s">
        <v>23</v>
      </c>
      <c r="CZ7" s="3" t="s">
        <v>484</v>
      </c>
      <c r="DA7" s="14" t="s">
        <v>400</v>
      </c>
      <c r="DB7" s="3" t="s">
        <v>174</v>
      </c>
      <c r="DC7" s="3" t="s">
        <v>406</v>
      </c>
      <c r="DD7" s="3" t="s">
        <v>186</v>
      </c>
      <c r="DE7" s="3" t="s">
        <v>191</v>
      </c>
      <c r="DF7" s="3" t="s">
        <v>377</v>
      </c>
      <c r="DG7" s="14" t="s">
        <v>47</v>
      </c>
      <c r="DH7" s="14" t="s">
        <v>383</v>
      </c>
      <c r="DI7" s="3" t="s">
        <v>317</v>
      </c>
      <c r="DJ7" s="3" t="s">
        <v>202</v>
      </c>
      <c r="DK7" s="9"/>
      <c r="DL7" s="151">
        <v>5</v>
      </c>
      <c r="DM7" s="59" t="s">
        <v>597</v>
      </c>
      <c r="DN7" s="60">
        <v>6</v>
      </c>
      <c r="DO7" s="60">
        <v>3</v>
      </c>
      <c r="DP7" s="60">
        <v>3</v>
      </c>
      <c r="DQ7" s="60">
        <v>7</v>
      </c>
      <c r="DR7" s="61" t="s">
        <v>701</v>
      </c>
      <c r="DS7" s="62">
        <v>120000</v>
      </c>
      <c r="DT7" s="272"/>
      <c r="DU7" s="9"/>
      <c r="DV7" s="34">
        <f t="shared" si="15"/>
        <v>5</v>
      </c>
      <c r="DW7" s="2" t="str">
        <f>IF(DX7=0,"",DX7)</f>
        <v>Blitzer Amazon Mercenary</v>
      </c>
      <c r="DX7" s="35" t="str">
        <f>HLOOKUP(K$24,EA$4:EX$11,5,FALSE)</f>
        <v>Blitzer Amazon Mercenary</v>
      </c>
      <c r="DY7" s="5"/>
      <c r="DZ7" s="26"/>
      <c r="EA7" s="3" t="s">
        <v>596</v>
      </c>
      <c r="EB7" s="3" t="s">
        <v>600</v>
      </c>
      <c r="EC7" s="14" t="s">
        <v>603</v>
      </c>
      <c r="ED7" s="14" t="s">
        <v>607</v>
      </c>
      <c r="EE7" s="3" t="s">
        <v>614</v>
      </c>
      <c r="EF7" s="14" t="s">
        <v>619</v>
      </c>
      <c r="EG7" s="3" t="s">
        <v>624</v>
      </c>
      <c r="EH7" s="3" t="s">
        <v>628</v>
      </c>
      <c r="EI7" s="3"/>
      <c r="EJ7" s="3" t="s">
        <v>636</v>
      </c>
      <c r="EK7" s="3" t="s">
        <v>640</v>
      </c>
      <c r="EL7" s="3" t="s">
        <v>645</v>
      </c>
      <c r="EM7" s="3" t="s">
        <v>649</v>
      </c>
      <c r="EN7" s="3" t="s">
        <v>652</v>
      </c>
      <c r="EO7" s="14" t="s">
        <v>657</v>
      </c>
      <c r="EP7" s="3" t="s">
        <v>663</v>
      </c>
      <c r="EQ7" s="3"/>
      <c r="ER7" s="3" t="s">
        <v>669</v>
      </c>
      <c r="ES7" s="3" t="s">
        <v>675</v>
      </c>
      <c r="ET7" s="3" t="s">
        <v>680</v>
      </c>
      <c r="EU7" s="14" t="s">
        <v>684</v>
      </c>
      <c r="EV7" s="14" t="s">
        <v>696</v>
      </c>
      <c r="EW7" s="3"/>
      <c r="EX7" s="3" t="s">
        <v>689</v>
      </c>
    </row>
    <row r="8" spans="2:154" ht="18" customHeight="1">
      <c r="B8" s="72"/>
      <c r="C8" s="138">
        <v>4</v>
      </c>
      <c r="D8" s="126"/>
      <c r="E8" s="43">
        <f>IF(BH8&lt;=1,"",VLOOKUP(BH8,CG:CH,2,FALSE))</f>
      </c>
      <c r="F8" s="49">
        <f>IF(E8&lt;&gt;"",VLOOKUP(E8,$BP:$BV,2,FALSE)+P8+AO8,"")</f>
      </c>
      <c r="G8" s="49">
        <f>IF(E8&lt;&gt;"",VLOOKUP(E8,$BP:$BV,3,FALSE)+Q8+AP8,"")</f>
      </c>
      <c r="H8" s="49">
        <f>IF(E8&lt;&gt;"",VLOOKUP(E8,$BP:$BV,4,FALSE)+R8+AQ8,"")</f>
      </c>
      <c r="I8" s="49">
        <f>IF(E8&lt;&gt;"",VLOOKUP(E8,$BP:$BV,5,FALSE)+S8+AR8,"")</f>
      </c>
      <c r="J8" s="45">
        <f>IF(E8="","",IF(COUNTIF(E5:E20,E8)&gt;VLOOKUP(E8,BP:BY,10,FALSE),"ERRORE! TROPPI GIOCATORI IN QUESTO RUOLO!",VLOOKUP(E8,BP:BV,6,FALSE)))</f>
      </c>
      <c r="K8" s="204">
        <f t="shared" si="16"/>
      </c>
      <c r="L8" s="47">
        <f>IF(Z8="Star","",(IF(E8&lt;&gt;"",VLOOKUP(E8,BP:BX,8,FALSE),"")))</f>
      </c>
      <c r="M8" s="47">
        <f>IF(Z8="Star","",(IF(E8&lt;&gt;"",VLOOKUP(E8,BP:BX,9,FALSE),"")))</f>
      </c>
      <c r="N8" s="120"/>
      <c r="O8" s="120"/>
      <c r="P8" s="119"/>
      <c r="Q8" s="119"/>
      <c r="R8" s="119"/>
      <c r="S8" s="119"/>
      <c r="T8" s="123"/>
      <c r="U8" s="123"/>
      <c r="V8" s="123"/>
      <c r="W8" s="123"/>
      <c r="X8" s="123"/>
      <c r="Y8" s="123"/>
      <c r="Z8" s="98">
        <f t="shared" si="0"/>
        <v>0</v>
      </c>
      <c r="AA8" s="52">
        <f t="shared" si="1"/>
      </c>
      <c r="AB8" s="247">
        <f t="shared" si="17"/>
        <v>0</v>
      </c>
      <c r="AC8" s="128">
        <f t="shared" si="18"/>
      </c>
      <c r="AD8" s="129">
        <f t="shared" si="2"/>
        <v>0</v>
      </c>
      <c r="AE8" s="80"/>
      <c r="AF8" s="1"/>
      <c r="AG8" s="214">
        <f t="shared" si="19"/>
      </c>
      <c r="AH8" s="215">
        <f t="shared" si="3"/>
      </c>
      <c r="AI8" s="215">
        <f t="shared" si="4"/>
      </c>
      <c r="AJ8" s="215">
        <f t="shared" si="5"/>
      </c>
      <c r="AK8" s="215">
        <f t="shared" si="6"/>
      </c>
      <c r="AL8" s="216">
        <f t="shared" si="7"/>
      </c>
      <c r="AM8" s="199"/>
      <c r="AN8" s="199"/>
      <c r="AO8" s="206">
        <f t="shared" si="20"/>
        <v>0</v>
      </c>
      <c r="AP8" s="207">
        <f t="shared" si="21"/>
        <v>0</v>
      </c>
      <c r="AQ8" s="207">
        <f t="shared" si="22"/>
        <v>0</v>
      </c>
      <c r="AR8" s="208">
        <f t="shared" si="23"/>
        <v>0</v>
      </c>
      <c r="AS8" s="199"/>
      <c r="AT8" s="209">
        <v>1</v>
      </c>
      <c r="AU8" s="205">
        <v>1</v>
      </c>
      <c r="AV8" s="205">
        <v>1</v>
      </c>
      <c r="AW8" s="205">
        <v>1</v>
      </c>
      <c r="AX8" s="205">
        <v>1</v>
      </c>
      <c r="AY8" s="210">
        <v>1</v>
      </c>
      <c r="AZ8" s="199"/>
      <c r="BA8" s="223">
        <f t="shared" si="24"/>
      </c>
      <c r="BB8" s="224">
        <f t="shared" si="8"/>
      </c>
      <c r="BC8" s="224">
        <f t="shared" si="9"/>
      </c>
      <c r="BD8" s="224">
        <f t="shared" si="10"/>
      </c>
      <c r="BE8" s="224">
        <f t="shared" si="11"/>
      </c>
      <c r="BF8" s="225">
        <f t="shared" si="12"/>
      </c>
      <c r="BG8" s="199"/>
      <c r="BH8" s="16">
        <v>1</v>
      </c>
      <c r="BI8" s="12" t="e">
        <f>VLOOKUP(E8,$BP:$BV,2,FALSE)</f>
        <v>#N/A</v>
      </c>
      <c r="BJ8" s="12" t="e">
        <f>VLOOKUP(E8,$BP:$BV,3,FALSE)</f>
        <v>#N/A</v>
      </c>
      <c r="BK8" s="12" t="e">
        <f>VLOOKUP(E8,$BP:$BV,4,FALSE)</f>
        <v>#N/A</v>
      </c>
      <c r="BL8" s="12" t="e">
        <f>VLOOKUP(E8,$BP:$BV,5,FALSE)</f>
        <v>#N/A</v>
      </c>
      <c r="BM8" s="7">
        <f>(IF(E8&lt;&gt;"",VLOOKUP(E8,BP:BV,7,FALSE),"0")+(AB8*1000))</f>
        <v>0</v>
      </c>
      <c r="BN8" s="7"/>
      <c r="BO8" s="151">
        <v>6</v>
      </c>
      <c r="BP8" s="63" t="s">
        <v>79</v>
      </c>
      <c r="BQ8" s="56">
        <v>6</v>
      </c>
      <c r="BR8" s="56">
        <v>3</v>
      </c>
      <c r="BS8" s="56">
        <v>3</v>
      </c>
      <c r="BT8" s="56">
        <v>8</v>
      </c>
      <c r="BU8" s="57" t="s">
        <v>82</v>
      </c>
      <c r="BV8" s="58">
        <v>60000</v>
      </c>
      <c r="BW8" s="58" t="s">
        <v>84</v>
      </c>
      <c r="BX8" s="58" t="s">
        <v>68</v>
      </c>
      <c r="BY8" s="58">
        <v>16</v>
      </c>
      <c r="BZ8" s="290" t="s">
        <v>34</v>
      </c>
      <c r="CA8" s="6">
        <v>5</v>
      </c>
      <c r="CB8" s="31" t="s">
        <v>93</v>
      </c>
      <c r="CC8" s="5">
        <v>50000</v>
      </c>
      <c r="CD8" s="31" t="s">
        <v>93</v>
      </c>
      <c r="CE8" s="5">
        <v>1</v>
      </c>
      <c r="CF8" s="5"/>
      <c r="CG8" s="34">
        <f t="shared" si="13"/>
        <v>6</v>
      </c>
      <c r="CH8" s="2" t="str">
        <f t="shared" si="14"/>
        <v>*Bertha Bigfist</v>
      </c>
      <c r="CI8" s="35" t="str">
        <f>HLOOKUP(K$24,CL$4:DJ$23,6,FALSE)</f>
        <v>*Bertha Bigfist</v>
      </c>
      <c r="CJ8" s="5"/>
      <c r="CL8" s="3" t="s">
        <v>103</v>
      </c>
      <c r="CM8" s="3" t="s">
        <v>8</v>
      </c>
      <c r="CN8" s="14" t="s">
        <v>91</v>
      </c>
      <c r="CO8" s="14" t="s">
        <v>366</v>
      </c>
      <c r="CP8" s="3" t="s">
        <v>106</v>
      </c>
      <c r="CQ8" s="3" t="s">
        <v>752</v>
      </c>
      <c r="CR8" s="14" t="s">
        <v>111</v>
      </c>
      <c r="CS8" s="3" t="s">
        <v>10</v>
      </c>
      <c r="CT8" s="3" t="s">
        <v>125</v>
      </c>
      <c r="CU8" s="3" t="s">
        <v>55</v>
      </c>
      <c r="CV8" s="3" t="s">
        <v>134</v>
      </c>
      <c r="CW8" s="3" t="s">
        <v>142</v>
      </c>
      <c r="CX8" s="3" t="s">
        <v>398</v>
      </c>
      <c r="CY8" s="3" t="s">
        <v>42</v>
      </c>
      <c r="CZ8" s="3" t="s">
        <v>161</v>
      </c>
      <c r="DA8" s="3" t="s">
        <v>401</v>
      </c>
      <c r="DB8" s="3" t="s">
        <v>175</v>
      </c>
      <c r="DC8" s="3" t="s">
        <v>8</v>
      </c>
      <c r="DD8" s="3" t="s">
        <v>188</v>
      </c>
      <c r="DE8" s="3" t="s">
        <v>40</v>
      </c>
      <c r="DF8" s="3" t="s">
        <v>474</v>
      </c>
      <c r="DG8" s="3" t="s">
        <v>160</v>
      </c>
      <c r="DH8" s="3" t="s">
        <v>384</v>
      </c>
      <c r="DI8" s="3" t="s">
        <v>416</v>
      </c>
      <c r="DJ8" s="3" t="s">
        <v>38</v>
      </c>
      <c r="DK8" s="9"/>
      <c r="DL8" s="151">
        <v>6</v>
      </c>
      <c r="DM8" s="63" t="s">
        <v>598</v>
      </c>
      <c r="DN8" s="56">
        <v>6</v>
      </c>
      <c r="DO8" s="56">
        <v>3</v>
      </c>
      <c r="DP8" s="56">
        <v>3</v>
      </c>
      <c r="DQ8" s="56">
        <v>8</v>
      </c>
      <c r="DR8" s="57" t="s">
        <v>489</v>
      </c>
      <c r="DS8" s="58">
        <v>90000</v>
      </c>
      <c r="DT8" s="290" t="s">
        <v>34</v>
      </c>
      <c r="DU8" s="9"/>
      <c r="DV8" s="34">
        <f t="shared" si="15"/>
      </c>
      <c r="DW8" s="2"/>
      <c r="DX8" s="35">
        <f>HLOOKUP(K$24,EA$4:EX$11,6,FALSE)</f>
        <v>0</v>
      </c>
      <c r="DY8" s="5"/>
      <c r="DZ8" s="26"/>
      <c r="EA8" s="3" t="s">
        <v>597</v>
      </c>
      <c r="EB8" s="3"/>
      <c r="EC8" s="14" t="s">
        <v>604</v>
      </c>
      <c r="ED8" s="14" t="s">
        <v>608</v>
      </c>
      <c r="EE8" s="3" t="s">
        <v>615</v>
      </c>
      <c r="EF8" s="14" t="s">
        <v>620</v>
      </c>
      <c r="EG8" s="3" t="s">
        <v>625</v>
      </c>
      <c r="EH8" s="3" t="s">
        <v>629</v>
      </c>
      <c r="EI8" s="3"/>
      <c r="EJ8" s="3" t="s">
        <v>637</v>
      </c>
      <c r="EK8" s="3" t="s">
        <v>641</v>
      </c>
      <c r="EL8" s="3" t="s">
        <v>646</v>
      </c>
      <c r="EM8" s="3"/>
      <c r="EN8" s="3" t="s">
        <v>653</v>
      </c>
      <c r="EO8" s="3" t="s">
        <v>658</v>
      </c>
      <c r="EP8" s="3" t="s">
        <v>664</v>
      </c>
      <c r="EQ8" s="3"/>
      <c r="ER8" s="3" t="s">
        <v>670</v>
      </c>
      <c r="ES8" s="3" t="s">
        <v>676</v>
      </c>
      <c r="ET8" s="3" t="s">
        <v>681</v>
      </c>
      <c r="EU8" s="3" t="s">
        <v>685</v>
      </c>
      <c r="EV8" s="3" t="s">
        <v>697</v>
      </c>
      <c r="EW8" s="3"/>
      <c r="EX8" s="3" t="s">
        <v>690</v>
      </c>
    </row>
    <row r="9" spans="2:154" ht="18" customHeight="1">
      <c r="B9" s="72"/>
      <c r="C9" s="138">
        <v>5</v>
      </c>
      <c r="D9" s="126"/>
      <c r="E9" s="43">
        <f>IF(BH9&lt;=1,"",VLOOKUP(BH9,CG:CH,2,FALSE))</f>
      </c>
      <c r="F9" s="49">
        <f>IF(E9&lt;&gt;"",VLOOKUP(E9,$BP:$BV,2,FALSE)+P9+AO9,"")</f>
      </c>
      <c r="G9" s="49">
        <f>IF(E9&lt;&gt;"",VLOOKUP(E9,$BP:$BV,3,FALSE)+Q9+AP9,"")</f>
      </c>
      <c r="H9" s="49">
        <f>IF(E9&lt;&gt;"",VLOOKUP(E9,$BP:$BV,4,FALSE)+R9+AQ9,"")</f>
      </c>
      <c r="I9" s="49">
        <f>IF(E9&lt;&gt;"",VLOOKUP(E9,$BP:$BV,5,FALSE)+S9+AR9,"")</f>
      </c>
      <c r="J9" s="45">
        <f>IF(E9="","",IF(COUNTIF(E5:E20,E9)&gt;VLOOKUP(E9,BP:BY,10,FALSE),"ERRORE! TROPPI GIOCATORI IN QUESTO RUOLO!",VLOOKUP(E9,BP:BV,6,FALSE)))</f>
      </c>
      <c r="K9" s="204">
        <f t="shared" si="16"/>
      </c>
      <c r="L9" s="47">
        <f>IF(Z9="Star","",(IF(E9&lt;&gt;"",VLOOKUP(E9,BP:BX,8,FALSE),"")))</f>
      </c>
      <c r="M9" s="47">
        <f>IF(Z9="Star","",(IF(E9&lt;&gt;"",VLOOKUP(E9,BP:BX,9,FALSE),"")))</f>
      </c>
      <c r="N9" s="120"/>
      <c r="O9" s="120"/>
      <c r="P9" s="119"/>
      <c r="Q9" s="119"/>
      <c r="R9" s="119"/>
      <c r="S9" s="119"/>
      <c r="T9" s="123"/>
      <c r="U9" s="123"/>
      <c r="V9" s="123"/>
      <c r="W9" s="123"/>
      <c r="X9" s="123"/>
      <c r="Y9" s="123"/>
      <c r="Z9" s="98">
        <f t="shared" si="0"/>
        <v>0</v>
      </c>
      <c r="AA9" s="52">
        <f t="shared" si="1"/>
      </c>
      <c r="AB9" s="247">
        <f t="shared" si="17"/>
        <v>0</v>
      </c>
      <c r="AC9" s="128">
        <f t="shared" si="18"/>
      </c>
      <c r="AD9" s="129">
        <f t="shared" si="2"/>
        <v>0</v>
      </c>
      <c r="AE9" s="80"/>
      <c r="AF9" s="1"/>
      <c r="AG9" s="214">
        <f t="shared" si="19"/>
      </c>
      <c r="AH9" s="215">
        <f t="shared" si="3"/>
      </c>
      <c r="AI9" s="215">
        <f t="shared" si="4"/>
      </c>
      <c r="AJ9" s="215">
        <f t="shared" si="5"/>
      </c>
      <c r="AK9" s="215">
        <f t="shared" si="6"/>
      </c>
      <c r="AL9" s="216">
        <f t="shared" si="7"/>
      </c>
      <c r="AM9" s="199"/>
      <c r="AN9" s="199"/>
      <c r="AO9" s="206">
        <f t="shared" si="20"/>
        <v>0</v>
      </c>
      <c r="AP9" s="207">
        <f t="shared" si="21"/>
        <v>0</v>
      </c>
      <c r="AQ9" s="207">
        <f t="shared" si="22"/>
        <v>0</v>
      </c>
      <c r="AR9" s="208">
        <f t="shared" si="23"/>
        <v>0</v>
      </c>
      <c r="AS9" s="199"/>
      <c r="AT9" s="209">
        <v>1</v>
      </c>
      <c r="AU9" s="205">
        <v>1</v>
      </c>
      <c r="AV9" s="205">
        <v>1</v>
      </c>
      <c r="AW9" s="205">
        <v>1</v>
      </c>
      <c r="AX9" s="205">
        <v>1</v>
      </c>
      <c r="AY9" s="210">
        <v>1</v>
      </c>
      <c r="AZ9" s="199"/>
      <c r="BA9" s="223">
        <f t="shared" si="24"/>
      </c>
      <c r="BB9" s="224">
        <f t="shared" si="8"/>
      </c>
      <c r="BC9" s="224">
        <f t="shared" si="9"/>
      </c>
      <c r="BD9" s="224">
        <f t="shared" si="10"/>
      </c>
      <c r="BE9" s="224">
        <f t="shared" si="11"/>
      </c>
      <c r="BF9" s="225">
        <f t="shared" si="12"/>
      </c>
      <c r="BG9" s="199"/>
      <c r="BH9" s="16">
        <v>1</v>
      </c>
      <c r="BI9" s="12" t="e">
        <f>VLOOKUP(E9,$BP:$BV,2,FALSE)</f>
        <v>#N/A</v>
      </c>
      <c r="BJ9" s="12" t="e">
        <f>VLOOKUP(E9,$BP:$BV,3,FALSE)</f>
        <v>#N/A</v>
      </c>
      <c r="BK9" s="12" t="e">
        <f>VLOOKUP(E9,$BP:$BV,4,FALSE)</f>
        <v>#N/A</v>
      </c>
      <c r="BL9" s="12" t="e">
        <f>VLOOKUP(E9,$BP:$BV,5,FALSE)</f>
        <v>#N/A</v>
      </c>
      <c r="BM9" s="7">
        <f>(IF(E9&lt;&gt;"",VLOOKUP(E9,BP:BV,7,FALSE),"0")+(AB9*1000))</f>
        <v>0</v>
      </c>
      <c r="BN9" s="7"/>
      <c r="BO9" s="151">
        <v>7</v>
      </c>
      <c r="BP9" s="64" t="s">
        <v>80</v>
      </c>
      <c r="BQ9" s="4">
        <v>5</v>
      </c>
      <c r="BR9" s="4">
        <v>4</v>
      </c>
      <c r="BS9" s="4">
        <v>3</v>
      </c>
      <c r="BT9" s="4">
        <v>9</v>
      </c>
      <c r="BU9" s="20"/>
      <c r="BV9" s="5">
        <v>100000</v>
      </c>
      <c r="BW9" s="5" t="s">
        <v>84</v>
      </c>
      <c r="BX9" s="5" t="s">
        <v>68</v>
      </c>
      <c r="BY9" s="5">
        <v>4</v>
      </c>
      <c r="BZ9" s="291"/>
      <c r="CA9" s="6">
        <v>6</v>
      </c>
      <c r="CB9" s="31" t="s">
        <v>831</v>
      </c>
      <c r="CC9" s="5">
        <v>70000</v>
      </c>
      <c r="CD9" s="31" t="s">
        <v>831</v>
      </c>
      <c r="CE9" s="5">
        <v>1</v>
      </c>
      <c r="CF9" s="5"/>
      <c r="CG9" s="34">
        <f t="shared" si="13"/>
        <v>7</v>
      </c>
      <c r="CH9" s="2" t="str">
        <f t="shared" si="14"/>
        <v>*Helmut Wulf</v>
      </c>
      <c r="CI9" s="35" t="str">
        <f>HLOOKUP(K$24,CL$4:DJ$23,7,FALSE)</f>
        <v>*Helmut Wulf</v>
      </c>
      <c r="CJ9" s="5"/>
      <c r="CL9" s="3" t="s">
        <v>406</v>
      </c>
      <c r="CM9" s="3" t="s">
        <v>9</v>
      </c>
      <c r="CN9" s="3" t="s">
        <v>291</v>
      </c>
      <c r="CO9" s="3" t="s">
        <v>367</v>
      </c>
      <c r="CP9" s="3" t="s">
        <v>98</v>
      </c>
      <c r="CQ9" s="3" t="s">
        <v>291</v>
      </c>
      <c r="CR9" s="14" t="s">
        <v>112</v>
      </c>
      <c r="CS9" s="3" t="s">
        <v>418</v>
      </c>
      <c r="CT9" s="3" t="s">
        <v>123</v>
      </c>
      <c r="CU9" s="3" t="s">
        <v>306</v>
      </c>
      <c r="CV9" s="3" t="s">
        <v>418</v>
      </c>
      <c r="CW9" s="14" t="s">
        <v>48</v>
      </c>
      <c r="CX9" s="3" t="s">
        <v>17</v>
      </c>
      <c r="CY9" s="147" t="s">
        <v>0</v>
      </c>
      <c r="CZ9" s="3" t="s">
        <v>162</v>
      </c>
      <c r="DA9" s="3" t="s">
        <v>402</v>
      </c>
      <c r="DB9" s="3" t="s">
        <v>8</v>
      </c>
      <c r="DC9" s="3" t="s">
        <v>9</v>
      </c>
      <c r="DD9" s="3" t="s">
        <v>187</v>
      </c>
      <c r="DE9" s="3" t="s">
        <v>192</v>
      </c>
      <c r="DF9" s="3" t="s">
        <v>42</v>
      </c>
      <c r="DG9" s="14" t="s">
        <v>148</v>
      </c>
      <c r="DH9" s="14" t="s">
        <v>385</v>
      </c>
      <c r="DI9" s="3" t="s">
        <v>42</v>
      </c>
      <c r="DJ9" s="3" t="s">
        <v>404</v>
      </c>
      <c r="DK9" s="9"/>
      <c r="DL9" s="151">
        <v>7</v>
      </c>
      <c r="DM9" s="64" t="s">
        <v>599</v>
      </c>
      <c r="DN9" s="4">
        <v>5</v>
      </c>
      <c r="DO9" s="4">
        <v>4</v>
      </c>
      <c r="DP9" s="4">
        <v>3</v>
      </c>
      <c r="DQ9" s="4">
        <v>9</v>
      </c>
      <c r="DR9" s="20" t="s">
        <v>491</v>
      </c>
      <c r="DS9" s="5">
        <v>130000</v>
      </c>
      <c r="DT9" s="291"/>
      <c r="DU9" s="9"/>
      <c r="DV9" s="34">
        <f t="shared" si="15"/>
      </c>
      <c r="DW9" s="2"/>
      <c r="DX9" s="35">
        <f>HLOOKUP(K$24,EA$4:EX$11,7,FALSE)</f>
        <v>0</v>
      </c>
      <c r="DY9" s="5"/>
      <c r="DZ9" s="26"/>
      <c r="EA9" s="3"/>
      <c r="EB9" s="3"/>
      <c r="EC9" s="3"/>
      <c r="ED9" s="3" t="s">
        <v>609</v>
      </c>
      <c r="EE9" s="3" t="s">
        <v>616</v>
      </c>
      <c r="EF9" s="14" t="s">
        <v>621</v>
      </c>
      <c r="EG9" s="3"/>
      <c r="EH9" s="3" t="s">
        <v>630</v>
      </c>
      <c r="EI9" s="3"/>
      <c r="EJ9" s="3"/>
      <c r="EK9" s="14" t="s">
        <v>642</v>
      </c>
      <c r="EL9" s="3"/>
      <c r="EM9" s="147"/>
      <c r="EN9" s="3" t="s">
        <v>654</v>
      </c>
      <c r="EO9" s="3" t="s">
        <v>659</v>
      </c>
      <c r="EP9" s="3"/>
      <c r="EQ9" s="3"/>
      <c r="ER9" s="3" t="s">
        <v>671</v>
      </c>
      <c r="ES9" s="3" t="s">
        <v>677</v>
      </c>
      <c r="ET9" s="3"/>
      <c r="EU9" s="14" t="s">
        <v>686</v>
      </c>
      <c r="EV9" s="14" t="s">
        <v>698</v>
      </c>
      <c r="EW9" s="3"/>
      <c r="EX9" s="3" t="s">
        <v>691</v>
      </c>
    </row>
    <row r="10" spans="2:154" ht="18" customHeight="1">
      <c r="B10" s="72"/>
      <c r="C10" s="138">
        <v>6</v>
      </c>
      <c r="D10" s="126"/>
      <c r="E10" s="43">
        <f>IF(BH10&lt;=1,"",VLOOKUP(BH10,CG:CH,2,FALSE))</f>
      </c>
      <c r="F10" s="49">
        <f>IF(E10&lt;&gt;"",VLOOKUP(E10,$BP:$BV,2,FALSE)+P10+AO10,"")</f>
      </c>
      <c r="G10" s="49">
        <f>IF(E10&lt;&gt;"",VLOOKUP(E10,$BP:$BV,3,FALSE)+Q10+AP10,"")</f>
      </c>
      <c r="H10" s="49">
        <f>IF(E10&lt;&gt;"",VLOOKUP(E10,$BP:$BV,4,FALSE)+R10+AQ10,"")</f>
      </c>
      <c r="I10" s="49">
        <f>IF(E10&lt;&gt;"",VLOOKUP(E10,$BP:$BV,5,FALSE)+S10+AR10,"")</f>
      </c>
      <c r="J10" s="45">
        <f>IF(E10="","",IF(COUNTIF(E5:E20,E10)&gt;VLOOKUP(E10,BP:BY,10,FALSE),"ERRORE! TROPPI GIOCATORI IN QUESTO RUOLO!",VLOOKUP(E10,BP:BV,6,FALSE)))</f>
      </c>
      <c r="K10" s="204">
        <f t="shared" si="16"/>
      </c>
      <c r="L10" s="47">
        <f>IF(Z10="Star","",(IF(E10&lt;&gt;"",VLOOKUP(E10,BP:BX,8,FALSE),"")))</f>
      </c>
      <c r="M10" s="47">
        <f>IF(Z10="Star","",(IF(E10&lt;&gt;"",VLOOKUP(E10,BP:BX,9,FALSE),"")))</f>
      </c>
      <c r="N10" s="120"/>
      <c r="O10" s="120"/>
      <c r="P10" s="119"/>
      <c r="Q10" s="119"/>
      <c r="R10" s="119"/>
      <c r="S10" s="119"/>
      <c r="T10" s="123"/>
      <c r="U10" s="123"/>
      <c r="V10" s="123"/>
      <c r="W10" s="123"/>
      <c r="X10" s="123"/>
      <c r="Y10" s="123"/>
      <c r="Z10" s="98">
        <f t="shared" si="0"/>
        <v>0</v>
      </c>
      <c r="AA10" s="52">
        <f t="shared" si="1"/>
      </c>
      <c r="AB10" s="247">
        <f t="shared" si="17"/>
        <v>0</v>
      </c>
      <c r="AC10" s="128">
        <f t="shared" si="18"/>
      </c>
      <c r="AD10" s="129">
        <f t="shared" si="2"/>
        <v>0</v>
      </c>
      <c r="AE10" s="80"/>
      <c r="AF10" s="1"/>
      <c r="AG10" s="214">
        <f t="shared" si="19"/>
      </c>
      <c r="AH10" s="215">
        <f t="shared" si="3"/>
      </c>
      <c r="AI10" s="215">
        <f t="shared" si="4"/>
      </c>
      <c r="AJ10" s="215">
        <f t="shared" si="5"/>
      </c>
      <c r="AK10" s="215">
        <f t="shared" si="6"/>
      </c>
      <c r="AL10" s="216">
        <f t="shared" si="7"/>
      </c>
      <c r="AM10" s="199"/>
      <c r="AN10" s="199"/>
      <c r="AO10" s="206">
        <f t="shared" si="20"/>
        <v>0</v>
      </c>
      <c r="AP10" s="207">
        <f t="shared" si="21"/>
        <v>0</v>
      </c>
      <c r="AQ10" s="207">
        <f t="shared" si="22"/>
        <v>0</v>
      </c>
      <c r="AR10" s="208">
        <f t="shared" si="23"/>
        <v>0</v>
      </c>
      <c r="AS10" s="199"/>
      <c r="AT10" s="209">
        <v>1</v>
      </c>
      <c r="AU10" s="205">
        <v>1</v>
      </c>
      <c r="AV10" s="205">
        <v>1</v>
      </c>
      <c r="AW10" s="205">
        <v>1</v>
      </c>
      <c r="AX10" s="205">
        <v>1</v>
      </c>
      <c r="AY10" s="210">
        <v>1</v>
      </c>
      <c r="AZ10" s="199"/>
      <c r="BA10" s="223">
        <f t="shared" si="24"/>
      </c>
      <c r="BB10" s="224">
        <f t="shared" si="8"/>
      </c>
      <c r="BC10" s="224">
        <f t="shared" si="9"/>
      </c>
      <c r="BD10" s="224">
        <f t="shared" si="10"/>
      </c>
      <c r="BE10" s="224">
        <f t="shared" si="11"/>
      </c>
      <c r="BF10" s="225">
        <f t="shared" si="12"/>
      </c>
      <c r="BG10" s="199"/>
      <c r="BH10" s="16">
        <v>1</v>
      </c>
      <c r="BI10" s="12" t="e">
        <f>VLOOKUP(E10,$BP:$BV,2,FALSE)</f>
        <v>#N/A</v>
      </c>
      <c r="BJ10" s="12" t="e">
        <f>VLOOKUP(E10,$BP:$BV,3,FALSE)</f>
        <v>#N/A</v>
      </c>
      <c r="BK10" s="12" t="e">
        <f>VLOOKUP(E10,$BP:$BV,4,FALSE)</f>
        <v>#N/A</v>
      </c>
      <c r="BL10" s="12" t="e">
        <f>VLOOKUP(E10,$BP:$BV,5,FALSE)</f>
        <v>#N/A</v>
      </c>
      <c r="BM10" s="7">
        <f>(IF(E10&lt;&gt;"",VLOOKUP(E10,BP:BV,7,FALSE),"0")+(AB10*1000))</f>
        <v>0</v>
      </c>
      <c r="BN10" s="7"/>
      <c r="BO10" s="151">
        <v>8</v>
      </c>
      <c r="BP10" s="59" t="s">
        <v>81</v>
      </c>
      <c r="BQ10" s="60">
        <v>5</v>
      </c>
      <c r="BR10" s="60">
        <v>5</v>
      </c>
      <c r="BS10" s="60">
        <v>2</v>
      </c>
      <c r="BT10" s="60">
        <v>8</v>
      </c>
      <c r="BU10" s="61" t="s">
        <v>83</v>
      </c>
      <c r="BV10" s="62">
        <v>150000</v>
      </c>
      <c r="BW10" s="62" t="s">
        <v>85</v>
      </c>
      <c r="BX10" s="62" t="s">
        <v>29</v>
      </c>
      <c r="BY10" s="62">
        <v>1</v>
      </c>
      <c r="BZ10" s="292"/>
      <c r="CA10" s="6">
        <v>7</v>
      </c>
      <c r="CB10" s="31" t="s">
        <v>107</v>
      </c>
      <c r="CC10" s="5">
        <v>50000</v>
      </c>
      <c r="CD10" s="31" t="s">
        <v>107</v>
      </c>
      <c r="CE10" s="5">
        <v>1</v>
      </c>
      <c r="CF10" s="5"/>
      <c r="CG10" s="34">
        <f t="shared" si="13"/>
        <v>8</v>
      </c>
      <c r="CH10" s="2" t="str">
        <f t="shared" si="14"/>
        <v>*Morg ’n’ Thorg</v>
      </c>
      <c r="CI10" s="35" t="str">
        <f>HLOOKUP(K$24,CL$4:DJ$23,8,FALSE)</f>
        <v>*Morg ’n’ Thorg</v>
      </c>
      <c r="CJ10" s="5"/>
      <c r="CL10" s="3" t="s">
        <v>42</v>
      </c>
      <c r="CM10" s="3" t="s">
        <v>291</v>
      </c>
      <c r="CN10" s="3" t="s">
        <v>301</v>
      </c>
      <c r="CO10" s="3" t="s">
        <v>368</v>
      </c>
      <c r="CP10" s="3" t="s">
        <v>287</v>
      </c>
      <c r="CQ10" s="3" t="s">
        <v>306</v>
      </c>
      <c r="CR10" s="3" t="s">
        <v>282</v>
      </c>
      <c r="CS10" s="3" t="s">
        <v>287</v>
      </c>
      <c r="CT10" s="3" t="s">
        <v>22</v>
      </c>
      <c r="CU10" s="3" t="s">
        <v>309</v>
      </c>
      <c r="CV10" s="3" t="s">
        <v>287</v>
      </c>
      <c r="CW10" s="147" t="s">
        <v>4</v>
      </c>
      <c r="CX10" s="148" t="s">
        <v>436</v>
      </c>
      <c r="CY10" s="3" t="s">
        <v>448</v>
      </c>
      <c r="CZ10" s="3" t="s">
        <v>317</v>
      </c>
      <c r="DA10" s="3" t="s">
        <v>403</v>
      </c>
      <c r="DB10" s="3" t="s">
        <v>9</v>
      </c>
      <c r="DC10" s="147" t="s">
        <v>65</v>
      </c>
      <c r="DD10" s="3" t="s">
        <v>481</v>
      </c>
      <c r="DE10" s="3" t="s">
        <v>423</v>
      </c>
      <c r="DF10" s="147" t="s">
        <v>0</v>
      </c>
      <c r="DG10" s="3" t="s">
        <v>317</v>
      </c>
      <c r="DH10" s="147" t="s">
        <v>65</v>
      </c>
      <c r="DI10" s="39" t="s">
        <v>442</v>
      </c>
      <c r="DJ10" s="3" t="s">
        <v>418</v>
      </c>
      <c r="DK10" s="9"/>
      <c r="DL10" s="151">
        <v>8</v>
      </c>
      <c r="DM10" s="59" t="s">
        <v>600</v>
      </c>
      <c r="DN10" s="60">
        <v>5</v>
      </c>
      <c r="DO10" s="60">
        <v>5</v>
      </c>
      <c r="DP10" s="60">
        <v>2</v>
      </c>
      <c r="DQ10" s="60">
        <v>8</v>
      </c>
      <c r="DR10" s="61" t="s">
        <v>83</v>
      </c>
      <c r="DS10" s="62">
        <v>180000</v>
      </c>
      <c r="DT10" s="292"/>
      <c r="DU10" s="9"/>
      <c r="DV10" s="34">
        <f t="shared" si="15"/>
      </c>
      <c r="DW10" s="2"/>
      <c r="DX10" s="35">
        <f>HLOOKUP(K$24,EA$4:EX$11,8,FALSE)</f>
        <v>0</v>
      </c>
      <c r="DY10" s="5"/>
      <c r="DZ10" s="26"/>
      <c r="EA10" s="3"/>
      <c r="EB10" s="3"/>
      <c r="EC10" s="3"/>
      <c r="ED10" s="3" t="s">
        <v>610</v>
      </c>
      <c r="EE10" s="3"/>
      <c r="EF10" s="3"/>
      <c r="EG10" s="3"/>
      <c r="EH10" s="3" t="s">
        <v>631</v>
      </c>
      <c r="EI10" s="3"/>
      <c r="EJ10" s="3"/>
      <c r="EK10" s="147"/>
      <c r="EL10" s="148"/>
      <c r="EM10" s="3"/>
      <c r="EN10" s="3"/>
      <c r="EO10" s="3" t="s">
        <v>660</v>
      </c>
      <c r="EP10" s="3"/>
      <c r="EQ10" s="147"/>
      <c r="ER10" s="3" t="s">
        <v>672</v>
      </c>
      <c r="ES10" s="3"/>
      <c r="ET10" s="147"/>
      <c r="EU10" s="3"/>
      <c r="EV10" s="147"/>
      <c r="EW10" s="39"/>
      <c r="EX10" s="3"/>
    </row>
    <row r="11" spans="2:154" ht="18" customHeight="1">
      <c r="B11" s="72"/>
      <c r="C11" s="138">
        <v>7</v>
      </c>
      <c r="D11" s="126"/>
      <c r="E11" s="43">
        <f>IF(BH11&lt;=1,"",VLOOKUP(BH11,CG:CH,2,FALSE))</f>
      </c>
      <c r="F11" s="49">
        <f>IF(E11&lt;&gt;"",VLOOKUP(E11,$BP:$BV,2,FALSE)+P11+AO11,"")</f>
      </c>
      <c r="G11" s="49">
        <f>IF(E11&lt;&gt;"",VLOOKUP(E11,$BP:$BV,3,FALSE)+Q11+AP11,"")</f>
      </c>
      <c r="H11" s="49">
        <f>IF(E11&lt;&gt;"",VLOOKUP(E11,$BP:$BV,4,FALSE)+R11+AQ11,"")</f>
      </c>
      <c r="I11" s="49">
        <f>IF(E11&lt;&gt;"",VLOOKUP(E11,$BP:$BV,5,FALSE)+S11+AR11,"")</f>
      </c>
      <c r="J11" s="45">
        <f>IF(E11="","",IF(COUNTIF(E5:E20,E11)&gt;VLOOKUP(E11,BP:BY,10,FALSE),"ERRORE! TROPPI GIOCATORI IN QUESTO RUOLO!",VLOOKUP(E11,BP:BV,6,FALSE)))</f>
      </c>
      <c r="K11" s="204">
        <f t="shared" si="16"/>
      </c>
      <c r="L11" s="47">
        <f>IF(Z11="Star","",(IF(E11&lt;&gt;"",VLOOKUP(E11,BP:BX,8,FALSE),"")))</f>
      </c>
      <c r="M11" s="47">
        <f>IF(Z11="Star","",(IF(E11&lt;&gt;"",VLOOKUP(E11,BP:BX,9,FALSE),"")))</f>
      </c>
      <c r="N11" s="120"/>
      <c r="O11" s="120"/>
      <c r="P11" s="119"/>
      <c r="Q11" s="119"/>
      <c r="R11" s="119"/>
      <c r="S11" s="119"/>
      <c r="T11" s="123"/>
      <c r="U11" s="123"/>
      <c r="V11" s="123"/>
      <c r="W11" s="123"/>
      <c r="X11" s="123"/>
      <c r="Y11" s="123"/>
      <c r="Z11" s="98">
        <f t="shared" si="0"/>
        <v>0</v>
      </c>
      <c r="AA11" s="52">
        <f t="shared" si="1"/>
      </c>
      <c r="AB11" s="247">
        <f t="shared" si="17"/>
        <v>0</v>
      </c>
      <c r="AC11" s="128">
        <f t="shared" si="18"/>
      </c>
      <c r="AD11" s="129">
        <f t="shared" si="2"/>
        <v>0</v>
      </c>
      <c r="AE11" s="80"/>
      <c r="AF11" s="1"/>
      <c r="AG11" s="214">
        <f t="shared" si="19"/>
      </c>
      <c r="AH11" s="215">
        <f t="shared" si="3"/>
      </c>
      <c r="AI11" s="215">
        <f t="shared" si="4"/>
      </c>
      <c r="AJ11" s="215">
        <f t="shared" si="5"/>
      </c>
      <c r="AK11" s="215">
        <f t="shared" si="6"/>
      </c>
      <c r="AL11" s="216">
        <f t="shared" si="7"/>
      </c>
      <c r="AM11" s="199"/>
      <c r="AN11" s="199"/>
      <c r="AO11" s="206">
        <f t="shared" si="20"/>
        <v>0</v>
      </c>
      <c r="AP11" s="207">
        <f t="shared" si="21"/>
        <v>0</v>
      </c>
      <c r="AQ11" s="207">
        <f t="shared" si="22"/>
        <v>0</v>
      </c>
      <c r="AR11" s="208">
        <f t="shared" si="23"/>
        <v>0</v>
      </c>
      <c r="AS11" s="199"/>
      <c r="AT11" s="209">
        <v>1</v>
      </c>
      <c r="AU11" s="205">
        <v>1</v>
      </c>
      <c r="AV11" s="205">
        <v>1</v>
      </c>
      <c r="AW11" s="205">
        <v>1</v>
      </c>
      <c r="AX11" s="205">
        <v>1</v>
      </c>
      <c r="AY11" s="210">
        <v>1</v>
      </c>
      <c r="AZ11" s="199"/>
      <c r="BA11" s="223">
        <f t="shared" si="24"/>
      </c>
      <c r="BB11" s="224">
        <f t="shared" si="8"/>
      </c>
      <c r="BC11" s="224">
        <f t="shared" si="9"/>
      </c>
      <c r="BD11" s="224">
        <f t="shared" si="10"/>
      </c>
      <c r="BE11" s="224">
        <f t="shared" si="11"/>
      </c>
      <c r="BF11" s="225">
        <f t="shared" si="12"/>
      </c>
      <c r="BG11" s="199"/>
      <c r="BH11" s="16">
        <v>1</v>
      </c>
      <c r="BI11" s="12" t="e">
        <f>VLOOKUP(E11,$BP:$BV,2,FALSE)</f>
        <v>#N/A</v>
      </c>
      <c r="BJ11" s="12" t="e">
        <f>VLOOKUP(E11,$BP:$BV,3,FALSE)</f>
        <v>#N/A</v>
      </c>
      <c r="BK11" s="12" t="e">
        <f>VLOOKUP(E11,$BP:$BV,4,FALSE)</f>
        <v>#N/A</v>
      </c>
      <c r="BL11" s="12" t="e">
        <f>VLOOKUP(E11,$BP:$BV,5,FALSE)</f>
        <v>#N/A</v>
      </c>
      <c r="BM11" s="7">
        <f>(IF(E11&lt;&gt;"",VLOOKUP(E11,BP:BV,7,FALSE),"0")+(AB11*1000))</f>
        <v>0</v>
      </c>
      <c r="BN11" s="7"/>
      <c r="BO11" s="151">
        <v>9</v>
      </c>
      <c r="BP11" s="63" t="s">
        <v>46</v>
      </c>
      <c r="BQ11" s="65">
        <v>6</v>
      </c>
      <c r="BR11" s="65">
        <v>3</v>
      </c>
      <c r="BS11" s="65">
        <v>3</v>
      </c>
      <c r="BT11" s="65">
        <v>7</v>
      </c>
      <c r="BU11" s="57"/>
      <c r="BV11" s="66">
        <v>40000</v>
      </c>
      <c r="BW11" s="66" t="s">
        <v>18</v>
      </c>
      <c r="BX11" s="66" t="s">
        <v>70</v>
      </c>
      <c r="BY11" s="66">
        <v>16</v>
      </c>
      <c r="BZ11" s="270" t="s">
        <v>86</v>
      </c>
      <c r="CA11" s="6">
        <v>8</v>
      </c>
      <c r="CB11" s="32" t="s">
        <v>50</v>
      </c>
      <c r="CC11" s="5">
        <v>50000</v>
      </c>
      <c r="CD11" s="32" t="s">
        <v>50</v>
      </c>
      <c r="CE11" s="5">
        <v>1</v>
      </c>
      <c r="CF11" s="5"/>
      <c r="CG11" s="34">
        <f t="shared" si="13"/>
        <v>9</v>
      </c>
      <c r="CH11" s="2" t="str">
        <f t="shared" si="14"/>
        <v>*Roxanna Darknail</v>
      </c>
      <c r="CI11" s="35" t="str">
        <f>HLOOKUP(K$24,CL$4:DJ$23,9,FALSE)</f>
        <v>*Roxanna Darknail</v>
      </c>
      <c r="CJ11" s="5"/>
      <c r="CK11" s="6"/>
      <c r="CL11" s="3" t="s">
        <v>306</v>
      </c>
      <c r="CM11" s="3" t="s">
        <v>445</v>
      </c>
      <c r="CN11" s="3" t="s">
        <v>306</v>
      </c>
      <c r="CO11" s="3" t="s">
        <v>473</v>
      </c>
      <c r="CP11" s="148" t="s">
        <v>299</v>
      </c>
      <c r="CQ11" s="3" t="s">
        <v>754</v>
      </c>
      <c r="CR11" s="3" t="s">
        <v>27</v>
      </c>
      <c r="CS11" s="148" t="s">
        <v>1</v>
      </c>
      <c r="CT11" s="147" t="s">
        <v>65</v>
      </c>
      <c r="CU11" s="3" t="s">
        <v>470</v>
      </c>
      <c r="CV11" s="3" t="s">
        <v>306</v>
      </c>
      <c r="CW11" s="3" t="s">
        <v>42</v>
      </c>
      <c r="CX11" s="39" t="s">
        <v>440</v>
      </c>
      <c r="CY11" s="3" t="s">
        <v>306</v>
      </c>
      <c r="CZ11" s="3" t="s">
        <v>17</v>
      </c>
      <c r="DA11" s="3" t="s">
        <v>27</v>
      </c>
      <c r="DB11" s="3" t="s">
        <v>291</v>
      </c>
      <c r="DC11" s="3" t="s">
        <v>306</v>
      </c>
      <c r="DD11" s="147" t="s">
        <v>65</v>
      </c>
      <c r="DE11" s="3" t="s">
        <v>426</v>
      </c>
      <c r="DF11" s="3" t="s">
        <v>448</v>
      </c>
      <c r="DG11" s="3" t="s">
        <v>17</v>
      </c>
      <c r="DH11" s="3" t="s">
        <v>423</v>
      </c>
      <c r="DI11" s="3" t="s">
        <v>306</v>
      </c>
      <c r="DJ11" s="3" t="s">
        <v>287</v>
      </c>
      <c r="DK11" s="9"/>
      <c r="DL11" s="151">
        <v>9</v>
      </c>
      <c r="DM11" s="63" t="s">
        <v>601</v>
      </c>
      <c r="DN11" s="65">
        <v>6</v>
      </c>
      <c r="DO11" s="65">
        <v>3</v>
      </c>
      <c r="DP11" s="65">
        <v>3</v>
      </c>
      <c r="DQ11" s="65">
        <v>7</v>
      </c>
      <c r="DR11" s="57" t="s">
        <v>491</v>
      </c>
      <c r="DS11" s="66">
        <v>70000</v>
      </c>
      <c r="DT11" s="270" t="s">
        <v>86</v>
      </c>
      <c r="DU11" s="9"/>
      <c r="DV11" s="34">
        <f t="shared" si="15"/>
      </c>
      <c r="DW11" s="2"/>
      <c r="DX11" s="35"/>
      <c r="DY11" s="5"/>
      <c r="DZ11" s="6"/>
      <c r="EA11" s="3"/>
      <c r="EB11" s="3"/>
      <c r="EC11" s="3"/>
      <c r="ED11" s="3" t="s">
        <v>611</v>
      </c>
      <c r="EE11" s="148"/>
      <c r="EF11" s="3"/>
      <c r="EG11" s="148"/>
      <c r="EH11" s="147"/>
      <c r="EI11" s="3"/>
      <c r="EJ11" s="3"/>
      <c r="EK11" s="3"/>
      <c r="EL11" s="39"/>
      <c r="EM11" s="3"/>
      <c r="EN11" s="3"/>
      <c r="EO11" s="3"/>
      <c r="EP11" s="3"/>
      <c r="EQ11" s="3"/>
      <c r="ER11" s="147"/>
      <c r="ES11" s="3"/>
      <c r="ET11" s="3"/>
      <c r="EU11" s="3"/>
      <c r="EV11" s="3"/>
      <c r="EW11" s="3"/>
      <c r="EX11" s="3"/>
    </row>
    <row r="12" spans="2:149" ht="18" customHeight="1">
      <c r="B12" s="72"/>
      <c r="C12" s="138">
        <v>8</v>
      </c>
      <c r="D12" s="126"/>
      <c r="E12" s="43">
        <f>IF(BH12&lt;=1,"",VLOOKUP(BH12,CG:CH,2,FALSE))</f>
      </c>
      <c r="F12" s="49">
        <f>IF(E12&lt;&gt;"",VLOOKUP(E12,$BP:$BV,2,FALSE)+P12+AO12,"")</f>
      </c>
      <c r="G12" s="49">
        <f>IF(E12&lt;&gt;"",VLOOKUP(E12,$BP:$BV,3,FALSE)+Q12+AP12,"")</f>
      </c>
      <c r="H12" s="49">
        <f>IF(E12&lt;&gt;"",VLOOKUP(E12,$BP:$BV,4,FALSE)+R12+AQ12,"")</f>
      </c>
      <c r="I12" s="49">
        <f>IF(E12&lt;&gt;"",VLOOKUP(E12,$BP:$BV,5,FALSE)+S12+AR12,"")</f>
      </c>
      <c r="J12" s="45">
        <f>IF(E12="","",IF(COUNTIF(E5:E20,E12)&gt;VLOOKUP(E12,BP:BY,10,FALSE),"ERRORE! TROPPI GIOCATORI IN QUESTO RUOLO!",VLOOKUP(E12,BP:BV,6,FALSE)))</f>
      </c>
      <c r="K12" s="204">
        <f t="shared" si="16"/>
      </c>
      <c r="L12" s="47">
        <f>IF(Z12="Star","",(IF(E12&lt;&gt;"",VLOOKUP(E12,BP:BX,8,FALSE),"")))</f>
      </c>
      <c r="M12" s="47">
        <f>IF(Z12="Star","",(IF(E12&lt;&gt;"",VLOOKUP(E12,BP:BX,9,FALSE),"")))</f>
      </c>
      <c r="N12" s="120"/>
      <c r="O12" s="120"/>
      <c r="P12" s="119"/>
      <c r="Q12" s="119"/>
      <c r="R12" s="119"/>
      <c r="S12" s="119"/>
      <c r="T12" s="123"/>
      <c r="U12" s="123"/>
      <c r="V12" s="123"/>
      <c r="W12" s="123"/>
      <c r="X12" s="123"/>
      <c r="Y12" s="123"/>
      <c r="Z12" s="98">
        <f t="shared" si="0"/>
        <v>0</v>
      </c>
      <c r="AA12" s="52">
        <f t="shared" si="1"/>
      </c>
      <c r="AB12" s="247">
        <f t="shared" si="17"/>
        <v>0</v>
      </c>
      <c r="AC12" s="128">
        <f t="shared" si="18"/>
      </c>
      <c r="AD12" s="129">
        <f t="shared" si="2"/>
        <v>0</v>
      </c>
      <c r="AE12" s="80"/>
      <c r="AF12" s="1"/>
      <c r="AG12" s="214">
        <f t="shared" si="19"/>
      </c>
      <c r="AH12" s="215">
        <f t="shared" si="3"/>
      </c>
      <c r="AI12" s="215">
        <f t="shared" si="4"/>
      </c>
      <c r="AJ12" s="215">
        <f t="shared" si="5"/>
      </c>
      <c r="AK12" s="215">
        <f t="shared" si="6"/>
      </c>
      <c r="AL12" s="216">
        <f t="shared" si="7"/>
      </c>
      <c r="AM12" s="199"/>
      <c r="AN12" s="199"/>
      <c r="AO12" s="206">
        <f t="shared" si="20"/>
        <v>0</v>
      </c>
      <c r="AP12" s="207">
        <f t="shared" si="21"/>
        <v>0</v>
      </c>
      <c r="AQ12" s="207">
        <f t="shared" si="22"/>
        <v>0</v>
      </c>
      <c r="AR12" s="208">
        <f t="shared" si="23"/>
        <v>0</v>
      </c>
      <c r="AS12" s="199"/>
      <c r="AT12" s="209">
        <v>1</v>
      </c>
      <c r="AU12" s="205">
        <v>1</v>
      </c>
      <c r="AV12" s="205">
        <v>1</v>
      </c>
      <c r="AW12" s="205">
        <v>1</v>
      </c>
      <c r="AX12" s="205">
        <v>1</v>
      </c>
      <c r="AY12" s="210">
        <v>1</v>
      </c>
      <c r="AZ12" s="199"/>
      <c r="BA12" s="223">
        <f t="shared" si="24"/>
      </c>
      <c r="BB12" s="224">
        <f t="shared" si="8"/>
      </c>
      <c r="BC12" s="224">
        <f t="shared" si="9"/>
      </c>
      <c r="BD12" s="224">
        <f t="shared" si="10"/>
      </c>
      <c r="BE12" s="224">
        <f t="shared" si="11"/>
      </c>
      <c r="BF12" s="225">
        <f t="shared" si="12"/>
      </c>
      <c r="BG12" s="199"/>
      <c r="BH12" s="16">
        <v>1</v>
      </c>
      <c r="BI12" s="12" t="e">
        <f>VLOOKUP(E12,$BP:$BV,2,FALSE)</f>
        <v>#N/A</v>
      </c>
      <c r="BJ12" s="12" t="e">
        <f>VLOOKUP(E12,$BP:$BV,3,FALSE)</f>
        <v>#N/A</v>
      </c>
      <c r="BK12" s="12" t="e">
        <f>VLOOKUP(E12,$BP:$BV,4,FALSE)</f>
        <v>#N/A</v>
      </c>
      <c r="BL12" s="12" t="e">
        <f>VLOOKUP(E12,$BP:$BV,5,FALSE)</f>
        <v>#N/A</v>
      </c>
      <c r="BM12" s="7">
        <f>(IF(E12&lt;&gt;"",VLOOKUP(E12,BP:BV,7,FALSE),"0")+(AB12*1000))</f>
        <v>0</v>
      </c>
      <c r="BN12" s="7"/>
      <c r="BO12" s="151">
        <v>10</v>
      </c>
      <c r="BP12" s="64" t="s">
        <v>87</v>
      </c>
      <c r="BQ12" s="38">
        <v>4</v>
      </c>
      <c r="BR12" s="38">
        <v>3</v>
      </c>
      <c r="BS12" s="38">
        <v>2</v>
      </c>
      <c r="BT12" s="38">
        <v>9</v>
      </c>
      <c r="BU12" s="20" t="s">
        <v>88</v>
      </c>
      <c r="BV12" s="67">
        <v>70000</v>
      </c>
      <c r="BW12" s="67" t="s">
        <v>73</v>
      </c>
      <c r="BX12" s="67" t="s">
        <v>44</v>
      </c>
      <c r="BY12" s="67">
        <v>6</v>
      </c>
      <c r="BZ12" s="271"/>
      <c r="CA12" s="6">
        <v>9</v>
      </c>
      <c r="CB12" s="31" t="s">
        <v>33</v>
      </c>
      <c r="CC12" s="5">
        <v>60000</v>
      </c>
      <c r="CD12" s="31" t="s">
        <v>33</v>
      </c>
      <c r="CE12" s="5">
        <v>1</v>
      </c>
      <c r="CF12" s="5"/>
      <c r="CG12" s="34">
        <f t="shared" si="13"/>
        <v>10</v>
      </c>
      <c r="CH12" s="2" t="str">
        <f t="shared" si="14"/>
        <v>*Willow Rosebark</v>
      </c>
      <c r="CI12" s="35" t="str">
        <f>HLOOKUP(K$24,CL$4:DJ$23,10,FALSE)</f>
        <v>*Willow Rosebark</v>
      </c>
      <c r="CJ12" s="5"/>
      <c r="CK12" s="6"/>
      <c r="CL12" s="3" t="s">
        <v>459</v>
      </c>
      <c r="CM12" s="3" t="s">
        <v>303</v>
      </c>
      <c r="CN12" s="3" t="s">
        <v>307</v>
      </c>
      <c r="CO12" s="147" t="s">
        <v>65</v>
      </c>
      <c r="CP12" s="148" t="s">
        <v>1</v>
      </c>
      <c r="CQ12" s="3"/>
      <c r="CR12" s="3" t="s">
        <v>288</v>
      </c>
      <c r="CS12" s="3" t="s">
        <v>54</v>
      </c>
      <c r="CT12" s="3" t="s">
        <v>289</v>
      </c>
      <c r="CU12" s="3" t="s">
        <v>314</v>
      </c>
      <c r="CV12" s="39" t="s">
        <v>308</v>
      </c>
      <c r="CW12" s="147" t="s">
        <v>305</v>
      </c>
      <c r="CX12" s="3" t="s">
        <v>5</v>
      </c>
      <c r="CY12" s="3" t="s">
        <v>456</v>
      </c>
      <c r="CZ12" s="39" t="s">
        <v>442</v>
      </c>
      <c r="DA12" s="3" t="s">
        <v>42</v>
      </c>
      <c r="DB12" s="3" t="s">
        <v>445</v>
      </c>
      <c r="DC12" s="3" t="s">
        <v>307</v>
      </c>
      <c r="DD12" s="3" t="s">
        <v>306</v>
      </c>
      <c r="DE12" s="3" t="s">
        <v>41</v>
      </c>
      <c r="DF12" s="3" t="s">
        <v>306</v>
      </c>
      <c r="DG12" s="39" t="s">
        <v>442</v>
      </c>
      <c r="DH12" s="3" t="s">
        <v>426</v>
      </c>
      <c r="DI12" s="3" t="s">
        <v>2</v>
      </c>
      <c r="DJ12" s="3" t="s">
        <v>54</v>
      </c>
      <c r="DK12" s="9"/>
      <c r="DL12" s="151">
        <v>10</v>
      </c>
      <c r="DM12" s="64" t="s">
        <v>602</v>
      </c>
      <c r="DN12" s="38">
        <v>4</v>
      </c>
      <c r="DO12" s="38">
        <v>3</v>
      </c>
      <c r="DP12" s="38">
        <v>2</v>
      </c>
      <c r="DQ12" s="38">
        <v>9</v>
      </c>
      <c r="DR12" s="20" t="s">
        <v>495</v>
      </c>
      <c r="DS12" s="67">
        <v>100000</v>
      </c>
      <c r="DT12" s="271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</row>
    <row r="13" spans="2:149" ht="18" customHeight="1">
      <c r="B13" s="72"/>
      <c r="C13" s="138">
        <v>9</v>
      </c>
      <c r="D13" s="126"/>
      <c r="E13" s="43">
        <f>IF(BH13&lt;=1,"",VLOOKUP(BH13,CG:CH,2,FALSE))</f>
      </c>
      <c r="F13" s="49">
        <f>IF(E13&lt;&gt;"",VLOOKUP(E13,$BP:$BV,2,FALSE)+P13+AO13,"")</f>
      </c>
      <c r="G13" s="49">
        <f>IF(E13&lt;&gt;"",VLOOKUP(E13,$BP:$BV,3,FALSE)+Q13+AP13,"")</f>
      </c>
      <c r="H13" s="49">
        <f>IF(E13&lt;&gt;"",VLOOKUP(E13,$BP:$BV,4,FALSE)+R13+AQ13,"")</f>
      </c>
      <c r="I13" s="49">
        <f>IF(E13&lt;&gt;"",VLOOKUP(E13,$BP:$BV,5,FALSE)+S13+AR13,"")</f>
      </c>
      <c r="J13" s="45">
        <f>IF(E13="","",IF(COUNTIF(E5:E20,E13)&gt;VLOOKUP(E13,BP:BY,10,FALSE),"ERRORE! TROPPI GIOCATORI IN QUESTO RUOLO!",VLOOKUP(E13,BP:BV,6,FALSE)))</f>
      </c>
      <c r="K13" s="204">
        <f t="shared" si="16"/>
      </c>
      <c r="L13" s="47">
        <f>IF(Z13="Star","",(IF(E13&lt;&gt;"",VLOOKUP(E13,BP:BX,8,FALSE),"")))</f>
      </c>
      <c r="M13" s="47">
        <f>IF(Z13="Star","",(IF(E13&lt;&gt;"",VLOOKUP(E13,BP:BX,9,FALSE),"")))</f>
      </c>
      <c r="N13" s="120"/>
      <c r="O13" s="120"/>
      <c r="P13" s="119"/>
      <c r="Q13" s="119"/>
      <c r="R13" s="119"/>
      <c r="S13" s="119"/>
      <c r="T13" s="123"/>
      <c r="U13" s="123"/>
      <c r="V13" s="123"/>
      <c r="W13" s="123"/>
      <c r="X13" s="123"/>
      <c r="Y13" s="123"/>
      <c r="Z13" s="98">
        <f t="shared" si="0"/>
        <v>0</v>
      </c>
      <c r="AA13" s="52">
        <f t="shared" si="1"/>
      </c>
      <c r="AB13" s="247">
        <f t="shared" si="17"/>
        <v>0</v>
      </c>
      <c r="AC13" s="128">
        <f t="shared" si="18"/>
      </c>
      <c r="AD13" s="129">
        <f t="shared" si="2"/>
        <v>0</v>
      </c>
      <c r="AE13" s="80"/>
      <c r="AF13" s="1"/>
      <c r="AG13" s="214">
        <f t="shared" si="19"/>
      </c>
      <c r="AH13" s="215">
        <f t="shared" si="3"/>
      </c>
      <c r="AI13" s="215">
        <f t="shared" si="4"/>
      </c>
      <c r="AJ13" s="215">
        <f t="shared" si="5"/>
      </c>
      <c r="AK13" s="215">
        <f t="shared" si="6"/>
      </c>
      <c r="AL13" s="216">
        <f t="shared" si="7"/>
      </c>
      <c r="AM13" s="199"/>
      <c r="AN13" s="199"/>
      <c r="AO13" s="206">
        <f t="shared" si="20"/>
        <v>0</v>
      </c>
      <c r="AP13" s="207">
        <f t="shared" si="21"/>
        <v>0</v>
      </c>
      <c r="AQ13" s="207">
        <f t="shared" si="22"/>
        <v>0</v>
      </c>
      <c r="AR13" s="208">
        <f t="shared" si="23"/>
        <v>0</v>
      </c>
      <c r="AS13" s="199"/>
      <c r="AT13" s="209">
        <v>1</v>
      </c>
      <c r="AU13" s="205">
        <v>1</v>
      </c>
      <c r="AV13" s="205">
        <v>1</v>
      </c>
      <c r="AW13" s="205">
        <v>1</v>
      </c>
      <c r="AX13" s="205">
        <v>1</v>
      </c>
      <c r="AY13" s="210">
        <v>1</v>
      </c>
      <c r="AZ13" s="199"/>
      <c r="BA13" s="223">
        <f t="shared" si="24"/>
      </c>
      <c r="BB13" s="224">
        <f t="shared" si="8"/>
      </c>
      <c r="BC13" s="224">
        <f t="shared" si="9"/>
      </c>
      <c r="BD13" s="224">
        <f t="shared" si="10"/>
      </c>
      <c r="BE13" s="224">
        <f t="shared" si="11"/>
      </c>
      <c r="BF13" s="225">
        <f t="shared" si="12"/>
      </c>
      <c r="BG13" s="199"/>
      <c r="BH13" s="16">
        <v>1</v>
      </c>
      <c r="BI13" s="12" t="e">
        <f>VLOOKUP(E13,$BP:$BV,2,FALSE)</f>
        <v>#N/A</v>
      </c>
      <c r="BJ13" s="12" t="e">
        <f>VLOOKUP(E13,$BP:$BV,3,FALSE)</f>
        <v>#N/A</v>
      </c>
      <c r="BK13" s="12" t="e">
        <f>VLOOKUP(E13,$BP:$BV,4,FALSE)</f>
        <v>#N/A</v>
      </c>
      <c r="BL13" s="12" t="e">
        <f>VLOOKUP(E13,$BP:$BV,5,FALSE)</f>
        <v>#N/A</v>
      </c>
      <c r="BM13" s="7">
        <f>(IF(E13&lt;&gt;"",VLOOKUP(E13,BP:BV,7,FALSE),"0")+(AB13*1000))</f>
        <v>0</v>
      </c>
      <c r="BN13" s="7"/>
      <c r="BO13" s="151">
        <v>11</v>
      </c>
      <c r="BP13" s="64" t="s">
        <v>89</v>
      </c>
      <c r="BQ13" s="38">
        <v>6</v>
      </c>
      <c r="BR13" s="38">
        <v>4</v>
      </c>
      <c r="BS13" s="38">
        <v>2</v>
      </c>
      <c r="BT13" s="38">
        <v>9</v>
      </c>
      <c r="BU13" s="20" t="s">
        <v>90</v>
      </c>
      <c r="BV13" s="67">
        <v>130000</v>
      </c>
      <c r="BW13" s="67" t="s">
        <v>73</v>
      </c>
      <c r="BX13" s="67" t="s">
        <v>68</v>
      </c>
      <c r="BY13" s="67">
        <v>2</v>
      </c>
      <c r="BZ13" s="271"/>
      <c r="CA13" s="6">
        <v>10</v>
      </c>
      <c r="CB13" s="31" t="s">
        <v>35</v>
      </c>
      <c r="CC13" s="5">
        <v>60000</v>
      </c>
      <c r="CD13" s="31" t="s">
        <v>35</v>
      </c>
      <c r="CE13" s="5">
        <v>1</v>
      </c>
      <c r="CF13" s="5"/>
      <c r="CG13" s="34">
        <f t="shared" si="13"/>
        <v>11</v>
      </c>
      <c r="CH13" s="2" t="str">
        <f t="shared" si="14"/>
        <v>*Zara the Slayer</v>
      </c>
      <c r="CI13" s="35" t="str">
        <f>HLOOKUP(K$24,CL$4:DJ$23,11,FALSE)</f>
        <v>*Zara the Slayer</v>
      </c>
      <c r="CJ13" s="5"/>
      <c r="CK13" s="6"/>
      <c r="CL13" s="3" t="s">
        <v>470</v>
      </c>
      <c r="CM13" s="147" t="s">
        <v>304</v>
      </c>
      <c r="CN13" s="3" t="s">
        <v>310</v>
      </c>
      <c r="CO13" s="3" t="s">
        <v>416</v>
      </c>
      <c r="CP13" s="39" t="s">
        <v>440</v>
      </c>
      <c r="CQ13" s="39"/>
      <c r="CR13" s="3" t="s">
        <v>294</v>
      </c>
      <c r="CS13" s="3" t="s">
        <v>306</v>
      </c>
      <c r="CT13" s="3" t="s">
        <v>306</v>
      </c>
      <c r="CU13" s="64" t="s">
        <v>498</v>
      </c>
      <c r="CV13" s="3" t="s">
        <v>466</v>
      </c>
      <c r="CW13" s="3" t="s">
        <v>306</v>
      </c>
      <c r="CX13" s="3" t="s">
        <v>3</v>
      </c>
      <c r="CY13" s="3" t="s">
        <v>28</v>
      </c>
      <c r="CZ13" s="3" t="s">
        <v>5</v>
      </c>
      <c r="DA13" s="39" t="s">
        <v>316</v>
      </c>
      <c r="DB13" s="3" t="s">
        <v>303</v>
      </c>
      <c r="DC13" s="3" t="s">
        <v>311</v>
      </c>
      <c r="DD13" s="3" t="s">
        <v>6</v>
      </c>
      <c r="DE13" s="3" t="s">
        <v>296</v>
      </c>
      <c r="DF13" s="3" t="s">
        <v>456</v>
      </c>
      <c r="DG13" s="3" t="s">
        <v>5</v>
      </c>
      <c r="DH13" s="3" t="s">
        <v>306</v>
      </c>
      <c r="DI13" s="3" t="s">
        <v>521</v>
      </c>
      <c r="DJ13" s="3" t="s">
        <v>306</v>
      </c>
      <c r="DK13" s="9"/>
      <c r="DL13" s="151">
        <v>11</v>
      </c>
      <c r="DM13" s="64" t="s">
        <v>603</v>
      </c>
      <c r="DN13" s="38">
        <v>6</v>
      </c>
      <c r="DO13" s="38">
        <v>4</v>
      </c>
      <c r="DP13" s="38">
        <v>2</v>
      </c>
      <c r="DQ13" s="38">
        <v>9</v>
      </c>
      <c r="DR13" s="20" t="s">
        <v>702</v>
      </c>
      <c r="DS13" s="67">
        <v>160000</v>
      </c>
      <c r="DT13" s="271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</row>
    <row r="14" spans="2:149" ht="18" customHeight="1">
      <c r="B14" s="72"/>
      <c r="C14" s="138">
        <v>10</v>
      </c>
      <c r="D14" s="126"/>
      <c r="E14" s="43">
        <f>IF(BH14&lt;=1,"",VLOOKUP(BH14,CG:CH,2,FALSE))</f>
      </c>
      <c r="F14" s="49">
        <f>IF(E14&lt;&gt;"",VLOOKUP(E14,$BP:$BV,2,FALSE)+P14+AO14,"")</f>
      </c>
      <c r="G14" s="49">
        <f>IF(E14&lt;&gt;"",VLOOKUP(E14,$BP:$BV,3,FALSE)+Q14+AP14,"")</f>
      </c>
      <c r="H14" s="49">
        <f>IF(E14&lt;&gt;"",VLOOKUP(E14,$BP:$BV,4,FALSE)+R14+AQ14,"")</f>
      </c>
      <c r="I14" s="49">
        <f>IF(E14&lt;&gt;"",VLOOKUP(E14,$BP:$BV,5,FALSE)+S14+AR14,"")</f>
      </c>
      <c r="J14" s="45">
        <f>IF(E14="","",IF(COUNTIF(E5:E20,E14)&gt;VLOOKUP(E14,BP:BY,10,FALSE),"ERRORE! TROPPI GIOCATORI IN QUESTO RUOLO!",VLOOKUP(E14,BP:BV,6,FALSE)))</f>
      </c>
      <c r="K14" s="204">
        <f t="shared" si="16"/>
      </c>
      <c r="L14" s="47">
        <f>IF(Z14="Star","",(IF(E14&lt;&gt;"",VLOOKUP(E14,BP:BX,8,FALSE),"")))</f>
      </c>
      <c r="M14" s="47">
        <f>IF(Z14="Star","",(IF(E14&lt;&gt;"",VLOOKUP(E14,BP:BX,9,FALSE),"")))</f>
      </c>
      <c r="N14" s="120"/>
      <c r="O14" s="120"/>
      <c r="P14" s="119"/>
      <c r="Q14" s="119"/>
      <c r="R14" s="119"/>
      <c r="S14" s="119"/>
      <c r="T14" s="123"/>
      <c r="U14" s="123"/>
      <c r="V14" s="123"/>
      <c r="W14" s="123"/>
      <c r="X14" s="123"/>
      <c r="Y14" s="123"/>
      <c r="Z14" s="98">
        <f t="shared" si="0"/>
        <v>0</v>
      </c>
      <c r="AA14" s="52">
        <f t="shared" si="1"/>
      </c>
      <c r="AB14" s="247">
        <f t="shared" si="17"/>
        <v>0</v>
      </c>
      <c r="AC14" s="128">
        <f t="shared" si="18"/>
      </c>
      <c r="AD14" s="129">
        <f t="shared" si="2"/>
        <v>0</v>
      </c>
      <c r="AE14" s="80"/>
      <c r="AF14" s="1"/>
      <c r="AG14" s="214">
        <f t="shared" si="19"/>
      </c>
      <c r="AH14" s="215">
        <f t="shared" si="3"/>
      </c>
      <c r="AI14" s="215">
        <f t="shared" si="4"/>
      </c>
      <c r="AJ14" s="215">
        <f t="shared" si="5"/>
      </c>
      <c r="AK14" s="215">
        <f t="shared" si="6"/>
      </c>
      <c r="AL14" s="216">
        <f t="shared" si="7"/>
      </c>
      <c r="AM14" s="199"/>
      <c r="AN14" s="199"/>
      <c r="AO14" s="206">
        <f t="shared" si="20"/>
        <v>0</v>
      </c>
      <c r="AP14" s="207">
        <f t="shared" si="21"/>
        <v>0</v>
      </c>
      <c r="AQ14" s="207">
        <f t="shared" si="22"/>
        <v>0</v>
      </c>
      <c r="AR14" s="208">
        <f t="shared" si="23"/>
        <v>0</v>
      </c>
      <c r="AS14" s="199"/>
      <c r="AT14" s="209">
        <v>1</v>
      </c>
      <c r="AU14" s="205">
        <v>1</v>
      </c>
      <c r="AV14" s="205">
        <v>1</v>
      </c>
      <c r="AW14" s="205">
        <v>1</v>
      </c>
      <c r="AX14" s="205">
        <v>1</v>
      </c>
      <c r="AY14" s="210">
        <v>1</v>
      </c>
      <c r="AZ14" s="199"/>
      <c r="BA14" s="223">
        <f t="shared" si="24"/>
      </c>
      <c r="BB14" s="224">
        <f t="shared" si="8"/>
      </c>
      <c r="BC14" s="224">
        <f t="shared" si="9"/>
      </c>
      <c r="BD14" s="224">
        <f t="shared" si="10"/>
      </c>
      <c r="BE14" s="224">
        <f t="shared" si="11"/>
      </c>
      <c r="BF14" s="225">
        <f t="shared" si="12"/>
      </c>
      <c r="BG14" s="199"/>
      <c r="BH14" s="16">
        <v>1</v>
      </c>
      <c r="BI14" s="12" t="e">
        <f>VLOOKUP(E14,$BP:$BV,2,FALSE)</f>
        <v>#N/A</v>
      </c>
      <c r="BJ14" s="12" t="e">
        <f>VLOOKUP(E14,$BP:$BV,3,FALSE)</f>
        <v>#N/A</v>
      </c>
      <c r="BK14" s="12" t="e">
        <f>VLOOKUP(E14,$BP:$BV,4,FALSE)</f>
        <v>#N/A</v>
      </c>
      <c r="BL14" s="12" t="e">
        <f>VLOOKUP(E14,$BP:$BV,5,FALSE)</f>
        <v>#N/A</v>
      </c>
      <c r="BM14" s="7">
        <f>(IF(E14&lt;&gt;"",VLOOKUP(E14,BP:BV,7,FALSE),"0")+(AB14*1000))</f>
        <v>0</v>
      </c>
      <c r="BN14" s="7"/>
      <c r="BO14" s="151">
        <v>12</v>
      </c>
      <c r="BP14" s="59" t="s">
        <v>91</v>
      </c>
      <c r="BQ14" s="60">
        <v>5</v>
      </c>
      <c r="BR14" s="60">
        <v>5</v>
      </c>
      <c r="BS14" s="60">
        <v>2</v>
      </c>
      <c r="BT14" s="60">
        <v>8</v>
      </c>
      <c r="BU14" s="61" t="s">
        <v>83</v>
      </c>
      <c r="BV14" s="62">
        <v>150000</v>
      </c>
      <c r="BW14" s="62" t="s">
        <v>92</v>
      </c>
      <c r="BX14" s="62" t="s">
        <v>7</v>
      </c>
      <c r="BY14" s="62">
        <v>1</v>
      </c>
      <c r="BZ14" s="272"/>
      <c r="CA14" s="6">
        <v>11</v>
      </c>
      <c r="CB14" s="31" t="s">
        <v>135</v>
      </c>
      <c r="CC14" s="5">
        <v>50000</v>
      </c>
      <c r="CD14" s="31" t="s">
        <v>135</v>
      </c>
      <c r="CE14" s="5">
        <v>1</v>
      </c>
      <c r="CF14" s="5"/>
      <c r="CG14" s="34">
        <f t="shared" si="13"/>
        <v>12</v>
      </c>
      <c r="CH14" s="2" t="str">
        <f t="shared" si="14"/>
        <v>Linewoman Amazon Journeywoman</v>
      </c>
      <c r="CI14" s="35" t="str">
        <f>HLOOKUP(K$24,CL$4:DJ$23,12,FALSE)</f>
        <v>Linewoman Amazon Journeywoman</v>
      </c>
      <c r="CJ14" s="5"/>
      <c r="CK14" s="6"/>
      <c r="CL14" s="3" t="s">
        <v>314</v>
      </c>
      <c r="CM14" s="3" t="s">
        <v>306</v>
      </c>
      <c r="CN14" s="3" t="s">
        <v>315</v>
      </c>
      <c r="CO14" s="3" t="s">
        <v>445</v>
      </c>
      <c r="CP14" s="3" t="s">
        <v>306</v>
      </c>
      <c r="CQ14" s="3"/>
      <c r="CR14" s="3" t="s">
        <v>306</v>
      </c>
      <c r="CS14" s="39" t="s">
        <v>308</v>
      </c>
      <c r="CT14" s="3" t="s">
        <v>307</v>
      </c>
      <c r="CU14" s="14" t="s">
        <v>524</v>
      </c>
      <c r="CV14" s="3" t="s">
        <v>314</v>
      </c>
      <c r="CW14" s="3" t="s">
        <v>309</v>
      </c>
      <c r="CX14" s="3" t="s">
        <v>463</v>
      </c>
      <c r="CY14" s="3" t="s">
        <v>503</v>
      </c>
      <c r="CZ14" s="3" t="s">
        <v>3</v>
      </c>
      <c r="DA14" s="3" t="s">
        <v>306</v>
      </c>
      <c r="DB14" s="147" t="s">
        <v>304</v>
      </c>
      <c r="DC14" s="3" t="s">
        <v>511</v>
      </c>
      <c r="DD14" s="3" t="s">
        <v>311</v>
      </c>
      <c r="DE14" s="3" t="s">
        <v>306</v>
      </c>
      <c r="DF14" s="3" t="s">
        <v>28</v>
      </c>
      <c r="DG14" s="3" t="s">
        <v>3</v>
      </c>
      <c r="DH14" s="3" t="s">
        <v>307</v>
      </c>
      <c r="DI14" s="14" t="s">
        <v>525</v>
      </c>
      <c r="DJ14" s="3" t="s">
        <v>470</v>
      </c>
      <c r="DK14" s="9"/>
      <c r="DL14" s="151">
        <v>12</v>
      </c>
      <c r="DM14" s="59" t="s">
        <v>604</v>
      </c>
      <c r="DN14" s="60">
        <v>5</v>
      </c>
      <c r="DO14" s="60">
        <v>5</v>
      </c>
      <c r="DP14" s="60">
        <v>2</v>
      </c>
      <c r="DQ14" s="60">
        <v>8</v>
      </c>
      <c r="DR14" s="61" t="s">
        <v>83</v>
      </c>
      <c r="DS14" s="62">
        <v>180000</v>
      </c>
      <c r="DT14" s="272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</row>
    <row r="15" spans="2:149" ht="18" customHeight="1">
      <c r="B15" s="72"/>
      <c r="C15" s="138">
        <v>11</v>
      </c>
      <c r="D15" s="126"/>
      <c r="E15" s="43">
        <f>IF(BH15&lt;=1,"",VLOOKUP(BH15,CG:CH,2,FALSE))</f>
      </c>
      <c r="F15" s="49">
        <f>IF(E15&lt;&gt;"",VLOOKUP(E15,$BP:$BV,2,FALSE)+P15+AO15,"")</f>
      </c>
      <c r="G15" s="49">
        <f>IF(E15&lt;&gt;"",VLOOKUP(E15,$BP:$BV,3,FALSE)+Q15+AP15,"")</f>
      </c>
      <c r="H15" s="49">
        <f>IF(E15&lt;&gt;"",VLOOKUP(E15,$BP:$BV,4,FALSE)+R15+AQ15,"")</f>
      </c>
      <c r="I15" s="49">
        <f>IF(E15&lt;&gt;"",VLOOKUP(E15,$BP:$BV,5,FALSE)+S15+AR15,"")</f>
      </c>
      <c r="J15" s="45">
        <f>IF(E15="","",IF(COUNTIF(E5:E20,E15)&gt;VLOOKUP(E15,BP:BY,10,FALSE),"ERRORE! TROPPI GIOCATORI IN QUESTO RUOLO!",VLOOKUP(E15,BP:BV,6,FALSE)))</f>
      </c>
      <c r="K15" s="204">
        <f t="shared" si="16"/>
      </c>
      <c r="L15" s="47">
        <f>IF(Z15="Star","",(IF(E15&lt;&gt;"",VLOOKUP(E15,BP:BX,8,FALSE),"")))</f>
      </c>
      <c r="M15" s="47">
        <f>IF(Z15="Star","",(IF(E15&lt;&gt;"",VLOOKUP(E15,BP:BX,9,FALSE),"")))</f>
      </c>
      <c r="N15" s="120"/>
      <c r="O15" s="120"/>
      <c r="P15" s="119"/>
      <c r="Q15" s="119"/>
      <c r="R15" s="119"/>
      <c r="S15" s="119"/>
      <c r="T15" s="123"/>
      <c r="U15" s="123"/>
      <c r="V15" s="123"/>
      <c r="W15" s="123"/>
      <c r="X15" s="123"/>
      <c r="Y15" s="123"/>
      <c r="Z15" s="98">
        <f t="shared" si="0"/>
        <v>0</v>
      </c>
      <c r="AA15" s="52">
        <f t="shared" si="1"/>
      </c>
      <c r="AB15" s="247">
        <f t="shared" si="17"/>
        <v>0</v>
      </c>
      <c r="AC15" s="128">
        <f t="shared" si="18"/>
      </c>
      <c r="AD15" s="129">
        <f t="shared" si="2"/>
        <v>0</v>
      </c>
      <c r="AE15" s="80"/>
      <c r="AF15" s="1"/>
      <c r="AG15" s="214">
        <f t="shared" si="19"/>
      </c>
      <c r="AH15" s="215">
        <f t="shared" si="3"/>
      </c>
      <c r="AI15" s="215">
        <f t="shared" si="4"/>
      </c>
      <c r="AJ15" s="215">
        <f t="shared" si="5"/>
      </c>
      <c r="AK15" s="215">
        <f t="shared" si="6"/>
      </c>
      <c r="AL15" s="216">
        <f t="shared" si="7"/>
      </c>
      <c r="AM15" s="199"/>
      <c r="AN15" s="199"/>
      <c r="AO15" s="206">
        <f t="shared" si="20"/>
        <v>0</v>
      </c>
      <c r="AP15" s="207">
        <f t="shared" si="21"/>
        <v>0</v>
      </c>
      <c r="AQ15" s="207">
        <f t="shared" si="22"/>
        <v>0</v>
      </c>
      <c r="AR15" s="208">
        <f t="shared" si="23"/>
        <v>0</v>
      </c>
      <c r="AS15" s="199"/>
      <c r="AT15" s="209">
        <v>1</v>
      </c>
      <c r="AU15" s="205">
        <v>1</v>
      </c>
      <c r="AV15" s="205">
        <v>1</v>
      </c>
      <c r="AW15" s="205">
        <v>1</v>
      </c>
      <c r="AX15" s="205">
        <v>1</v>
      </c>
      <c r="AY15" s="210">
        <v>1</v>
      </c>
      <c r="AZ15" s="199"/>
      <c r="BA15" s="223">
        <f t="shared" si="24"/>
      </c>
      <c r="BB15" s="224">
        <f t="shared" si="8"/>
      </c>
      <c r="BC15" s="224">
        <f t="shared" si="9"/>
      </c>
      <c r="BD15" s="224">
        <f t="shared" si="10"/>
      </c>
      <c r="BE15" s="224">
        <f t="shared" si="11"/>
      </c>
      <c r="BF15" s="225">
        <f t="shared" si="12"/>
      </c>
      <c r="BG15" s="199"/>
      <c r="BH15" s="16">
        <v>1</v>
      </c>
      <c r="BI15" s="12" t="e">
        <f>VLOOKUP(E15,$BP:$BV,2,FALSE)</f>
        <v>#N/A</v>
      </c>
      <c r="BJ15" s="12" t="e">
        <f>VLOOKUP(E15,$BP:$BV,3,FALSE)</f>
        <v>#N/A</v>
      </c>
      <c r="BK15" s="12" t="e">
        <f>VLOOKUP(E15,$BP:$BV,4,FALSE)</f>
        <v>#N/A</v>
      </c>
      <c r="BL15" s="12" t="e">
        <f>VLOOKUP(E15,$BP:$BV,5,FALSE)</f>
        <v>#N/A</v>
      </c>
      <c r="BM15" s="7">
        <f>(IF(E15&lt;&gt;"",VLOOKUP(E15,BP:BV,7,FALSE),"0")+(AB15*1000))</f>
        <v>0</v>
      </c>
      <c r="BN15" s="7"/>
      <c r="BO15" s="151">
        <v>13</v>
      </c>
      <c r="BP15" s="3" t="s">
        <v>363</v>
      </c>
      <c r="BQ15" s="4">
        <v>6</v>
      </c>
      <c r="BR15" s="4">
        <v>3</v>
      </c>
      <c r="BS15" s="4">
        <v>3</v>
      </c>
      <c r="BT15" s="4">
        <v>8</v>
      </c>
      <c r="BU15" s="20"/>
      <c r="BV15" s="5">
        <v>50000</v>
      </c>
      <c r="BW15" s="5" t="s">
        <v>371</v>
      </c>
      <c r="BX15" s="5" t="s">
        <v>43</v>
      </c>
      <c r="BY15" s="5">
        <v>12</v>
      </c>
      <c r="BZ15" s="273" t="s">
        <v>369</v>
      </c>
      <c r="CA15" s="6">
        <v>12</v>
      </c>
      <c r="CB15" s="31" t="s">
        <v>138</v>
      </c>
      <c r="CC15" s="5">
        <v>50000</v>
      </c>
      <c r="CD15" s="31" t="s">
        <v>138</v>
      </c>
      <c r="CE15" s="5">
        <v>1</v>
      </c>
      <c r="CF15" s="5"/>
      <c r="CG15" s="34">
        <f t="shared" si="13"/>
        <v>13</v>
      </c>
      <c r="CH15" s="2" t="str">
        <f t="shared" si="14"/>
        <v>**Jean Castaneda</v>
      </c>
      <c r="CI15" s="35" t="str">
        <f>HLOOKUP(K$24,CL$4:DJ$23,13,FALSE)</f>
        <v>**Jean Castaneda</v>
      </c>
      <c r="CJ15" s="5"/>
      <c r="CK15" s="6"/>
      <c r="CL15" s="64" t="s">
        <v>486</v>
      </c>
      <c r="CM15" s="64" t="s">
        <v>488</v>
      </c>
      <c r="CN15" s="64" t="s">
        <v>490</v>
      </c>
      <c r="CO15" s="3" t="s">
        <v>306</v>
      </c>
      <c r="CP15" s="3" t="s">
        <v>459</v>
      </c>
      <c r="CQ15" s="3"/>
      <c r="CR15" s="3" t="s">
        <v>314</v>
      </c>
      <c r="CS15" s="3" t="s">
        <v>496</v>
      </c>
      <c r="CT15" s="3" t="s">
        <v>6</v>
      </c>
      <c r="CU15" s="3"/>
      <c r="CV15" s="3" t="s">
        <v>499</v>
      </c>
      <c r="CW15" s="3" t="s">
        <v>314</v>
      </c>
      <c r="CX15" s="3" t="s">
        <v>501</v>
      </c>
      <c r="CY15" s="14" t="s">
        <v>526</v>
      </c>
      <c r="CZ15" s="3" t="s">
        <v>2</v>
      </c>
      <c r="DA15" s="3" t="s">
        <v>2</v>
      </c>
      <c r="DB15" s="3" t="s">
        <v>306</v>
      </c>
      <c r="DC15" s="14" t="s">
        <v>527</v>
      </c>
      <c r="DD15" s="3" t="s">
        <v>66</v>
      </c>
      <c r="DE15" s="3" t="s">
        <v>312</v>
      </c>
      <c r="DF15" s="3" t="s">
        <v>515</v>
      </c>
      <c r="DG15" s="3" t="s">
        <v>463</v>
      </c>
      <c r="DH15" s="3" t="s">
        <v>312</v>
      </c>
      <c r="DI15" s="14" t="s">
        <v>528</v>
      </c>
      <c r="DJ15" s="3" t="s">
        <v>314</v>
      </c>
      <c r="DK15" s="9"/>
      <c r="DL15" s="151">
        <v>13</v>
      </c>
      <c r="DM15" s="3" t="s">
        <v>605</v>
      </c>
      <c r="DN15" s="4">
        <v>6</v>
      </c>
      <c r="DO15" s="4">
        <v>3</v>
      </c>
      <c r="DP15" s="4">
        <v>3</v>
      </c>
      <c r="DQ15" s="4">
        <v>8</v>
      </c>
      <c r="DR15" s="20" t="s">
        <v>491</v>
      </c>
      <c r="DS15" s="5">
        <v>80000</v>
      </c>
      <c r="DT15" s="273" t="s">
        <v>369</v>
      </c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</row>
    <row r="16" spans="2:149" ht="18" customHeight="1">
      <c r="B16" s="72"/>
      <c r="C16" s="138">
        <v>12</v>
      </c>
      <c r="D16" s="126"/>
      <c r="E16" s="43">
        <f>IF(BH16&lt;=1,"",VLOOKUP(BH16,CG:CH,2,FALSE))</f>
      </c>
      <c r="F16" s="49">
        <f>IF(E16&lt;&gt;"",VLOOKUP(E16,$BP:$BV,2,FALSE)+P16+AO16,"")</f>
      </c>
      <c r="G16" s="49">
        <f>IF(E16&lt;&gt;"",VLOOKUP(E16,$BP:$BV,3,FALSE)+Q16+AP16,"")</f>
      </c>
      <c r="H16" s="49">
        <f>IF(E16&lt;&gt;"",VLOOKUP(E16,$BP:$BV,4,FALSE)+R16+AQ16,"")</f>
      </c>
      <c r="I16" s="49">
        <f>IF(E16&lt;&gt;"",VLOOKUP(E16,$BP:$BV,5,FALSE)+S16+AR16,"")</f>
      </c>
      <c r="J16" s="45">
        <f>IF(E16="","",IF(COUNTIF(E5:E20,E16)&gt;VLOOKUP(E16,BP:BY,10,FALSE),"ERRORE! TROPPI GIOCATORI IN QUESTO RUOLO!",VLOOKUP(E16,BP:BV,6,FALSE)))</f>
      </c>
      <c r="K16" s="204">
        <f t="shared" si="16"/>
      </c>
      <c r="L16" s="47">
        <f>IF(Z16="Star","",(IF(E16&lt;&gt;"",VLOOKUP(E16,BP:BX,8,FALSE),"")))</f>
      </c>
      <c r="M16" s="47">
        <f>IF(Z16="Star","",(IF(E16&lt;&gt;"",VLOOKUP(E16,BP:BX,9,FALSE),"")))</f>
      </c>
      <c r="N16" s="120"/>
      <c r="O16" s="120"/>
      <c r="P16" s="119"/>
      <c r="Q16" s="119"/>
      <c r="R16" s="119"/>
      <c r="S16" s="119"/>
      <c r="T16" s="123"/>
      <c r="U16" s="123"/>
      <c r="V16" s="123"/>
      <c r="W16" s="123"/>
      <c r="X16" s="123"/>
      <c r="Y16" s="123"/>
      <c r="Z16" s="98">
        <f t="shared" si="0"/>
        <v>0</v>
      </c>
      <c r="AA16" s="52">
        <f t="shared" si="1"/>
      </c>
      <c r="AB16" s="247">
        <f t="shared" si="17"/>
        <v>0</v>
      </c>
      <c r="AC16" s="128">
        <f t="shared" si="18"/>
      </c>
      <c r="AD16" s="129">
        <f t="shared" si="2"/>
        <v>0</v>
      </c>
      <c r="AE16" s="80"/>
      <c r="AF16" s="1"/>
      <c r="AG16" s="214">
        <f t="shared" si="19"/>
      </c>
      <c r="AH16" s="215">
        <f t="shared" si="3"/>
      </c>
      <c r="AI16" s="215">
        <f t="shared" si="4"/>
      </c>
      <c r="AJ16" s="215">
        <f t="shared" si="5"/>
      </c>
      <c r="AK16" s="215">
        <f t="shared" si="6"/>
      </c>
      <c r="AL16" s="216">
        <f t="shared" si="7"/>
      </c>
      <c r="AM16" s="199"/>
      <c r="AN16" s="199"/>
      <c r="AO16" s="206">
        <f t="shared" si="20"/>
        <v>0</v>
      </c>
      <c r="AP16" s="207">
        <f t="shared" si="21"/>
        <v>0</v>
      </c>
      <c r="AQ16" s="207">
        <f t="shared" si="22"/>
        <v>0</v>
      </c>
      <c r="AR16" s="208">
        <f t="shared" si="23"/>
        <v>0</v>
      </c>
      <c r="AS16" s="199"/>
      <c r="AT16" s="209">
        <v>1</v>
      </c>
      <c r="AU16" s="205">
        <v>1</v>
      </c>
      <c r="AV16" s="205">
        <v>1</v>
      </c>
      <c r="AW16" s="205">
        <v>1</v>
      </c>
      <c r="AX16" s="205">
        <v>1</v>
      </c>
      <c r="AY16" s="210">
        <v>1</v>
      </c>
      <c r="AZ16" s="199"/>
      <c r="BA16" s="223">
        <f t="shared" si="24"/>
      </c>
      <c r="BB16" s="224">
        <f t="shared" si="8"/>
      </c>
      <c r="BC16" s="224">
        <f t="shared" si="9"/>
      </c>
      <c r="BD16" s="224">
        <f t="shared" si="10"/>
      </c>
      <c r="BE16" s="224">
        <f t="shared" si="11"/>
      </c>
      <c r="BF16" s="225">
        <f t="shared" si="12"/>
      </c>
      <c r="BG16" s="199"/>
      <c r="BH16" s="16">
        <v>1</v>
      </c>
      <c r="BI16" s="12" t="e">
        <f>VLOOKUP(E16,$BP:$BV,2,FALSE)</f>
        <v>#N/A</v>
      </c>
      <c r="BJ16" s="12" t="e">
        <f>VLOOKUP(E16,$BP:$BV,3,FALSE)</f>
        <v>#N/A</v>
      </c>
      <c r="BK16" s="12" t="e">
        <f>VLOOKUP(E16,$BP:$BV,4,FALSE)</f>
        <v>#N/A</v>
      </c>
      <c r="BL16" s="12" t="e">
        <f>VLOOKUP(E16,$BP:$BV,5,FALSE)</f>
        <v>#N/A</v>
      </c>
      <c r="BM16" s="7">
        <f>(IF(E16&lt;&gt;"",VLOOKUP(E16,BP:BV,7,FALSE),"0")+(AB16*1000))</f>
        <v>0</v>
      </c>
      <c r="BN16" s="7"/>
      <c r="BO16" s="151">
        <v>14</v>
      </c>
      <c r="BP16" s="3" t="s">
        <v>364</v>
      </c>
      <c r="BQ16" s="4">
        <v>6</v>
      </c>
      <c r="BR16" s="4">
        <v>2</v>
      </c>
      <c r="BS16" s="4">
        <v>3</v>
      </c>
      <c r="BT16" s="4">
        <v>7</v>
      </c>
      <c r="BU16" s="20" t="s">
        <v>388</v>
      </c>
      <c r="BV16" s="5">
        <v>40000</v>
      </c>
      <c r="BW16" s="5" t="s">
        <v>372</v>
      </c>
      <c r="BX16" s="5" t="s">
        <v>129</v>
      </c>
      <c r="BY16" s="5">
        <v>1</v>
      </c>
      <c r="BZ16" s="274"/>
      <c r="CA16" s="6">
        <v>13</v>
      </c>
      <c r="CB16" s="32" t="s">
        <v>49</v>
      </c>
      <c r="CC16" s="5">
        <v>70000</v>
      </c>
      <c r="CD16" s="32" t="s">
        <v>49</v>
      </c>
      <c r="CE16" s="5">
        <v>0</v>
      </c>
      <c r="CF16" s="5"/>
      <c r="CG16" s="34">
        <f t="shared" si="13"/>
        <v>14</v>
      </c>
      <c r="CH16" s="2" t="str">
        <f t="shared" si="14"/>
        <v>**Joe Kane</v>
      </c>
      <c r="CI16" s="35" t="str">
        <f>HLOOKUP(K$24,CL$4:DJ$23,14,FALSE)</f>
        <v>**Joe Kane</v>
      </c>
      <c r="CJ16" s="5"/>
      <c r="CK16" s="6"/>
      <c r="CL16" s="14" t="s">
        <v>529</v>
      </c>
      <c r="CM16" s="14" t="s">
        <v>530</v>
      </c>
      <c r="CN16" s="14" t="s">
        <v>531</v>
      </c>
      <c r="CO16" s="3" t="s">
        <v>66</v>
      </c>
      <c r="CP16" s="3" t="s">
        <v>493</v>
      </c>
      <c r="CQ16" s="3"/>
      <c r="CR16" s="64" t="s">
        <v>494</v>
      </c>
      <c r="CS16" s="14" t="s">
        <v>532</v>
      </c>
      <c r="CT16" s="3" t="s">
        <v>311</v>
      </c>
      <c r="CU16" s="3"/>
      <c r="CV16" s="14" t="s">
        <v>532</v>
      </c>
      <c r="CW16" s="3" t="s">
        <v>500</v>
      </c>
      <c r="CX16"/>
      <c r="CY16" s="3"/>
      <c r="CZ16" s="3" t="s">
        <v>505</v>
      </c>
      <c r="DA16" s="3" t="s">
        <v>314</v>
      </c>
      <c r="DB16" s="3" t="s">
        <v>509</v>
      </c>
      <c r="DC16"/>
      <c r="DD16" s="3" t="s">
        <v>313</v>
      </c>
      <c r="DE16" s="3" t="s">
        <v>514</v>
      </c>
      <c r="DF16" s="3"/>
      <c r="DG16" s="3" t="s">
        <v>517</v>
      </c>
      <c r="DH16" s="3" t="s">
        <v>519</v>
      </c>
      <c r="DI16"/>
      <c r="DJ16" s="3" t="s">
        <v>522</v>
      </c>
      <c r="DK16" s="9"/>
      <c r="DL16" s="151">
        <v>14</v>
      </c>
      <c r="DM16" s="3" t="s">
        <v>606</v>
      </c>
      <c r="DN16" s="4">
        <v>6</v>
      </c>
      <c r="DO16" s="4">
        <v>2</v>
      </c>
      <c r="DP16" s="4">
        <v>3</v>
      </c>
      <c r="DQ16" s="4">
        <v>7</v>
      </c>
      <c r="DR16" s="20" t="s">
        <v>703</v>
      </c>
      <c r="DS16" s="5">
        <v>70000</v>
      </c>
      <c r="DT16" s="274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</row>
    <row r="17" spans="2:149" ht="18" customHeight="1">
      <c r="B17" s="72"/>
      <c r="C17" s="138">
        <v>13</v>
      </c>
      <c r="D17" s="126"/>
      <c r="E17" s="43">
        <f>IF(BH17&lt;=1,"",VLOOKUP(BH17,CG:CH,2,FALSE))</f>
      </c>
      <c r="F17" s="49">
        <f>IF(E17&lt;&gt;"",VLOOKUP(E17,$BP:$BV,2,FALSE)+P17+AO17,"")</f>
      </c>
      <c r="G17" s="49">
        <f>IF(E17&lt;&gt;"",VLOOKUP(E17,$BP:$BV,3,FALSE)+Q17+AP17,"")</f>
      </c>
      <c r="H17" s="49">
        <f>IF(E17&lt;&gt;"",VLOOKUP(E17,$BP:$BV,4,FALSE)+R17+AQ17,"")</f>
      </c>
      <c r="I17" s="49">
        <f>IF(E17&lt;&gt;"",VLOOKUP(E17,$BP:$BV,5,FALSE)+S17+AR17,"")</f>
      </c>
      <c r="J17" s="45">
        <f>IF(E17="","",IF(COUNTIF(E5:E20,E17)&gt;VLOOKUP(E17,BP:BY,10,FALSE),"ERRORE! TROPPI GIOCATORI IN QUESTO RUOLO!",VLOOKUP(E17,BP:BV,6,FALSE)))</f>
      </c>
      <c r="K17" s="204">
        <f t="shared" si="16"/>
      </c>
      <c r="L17" s="47">
        <f>IF(Z17="Star","",(IF(E17&lt;&gt;"",VLOOKUP(E17,BP:BX,8,FALSE),"")))</f>
      </c>
      <c r="M17" s="47">
        <f>IF(Z17="Star","",(IF(E17&lt;&gt;"",VLOOKUP(E17,BP:BX,9,FALSE),"")))</f>
      </c>
      <c r="N17" s="120"/>
      <c r="O17" s="120"/>
      <c r="P17" s="119"/>
      <c r="Q17" s="119"/>
      <c r="R17" s="119"/>
      <c r="S17" s="119"/>
      <c r="T17" s="123"/>
      <c r="U17" s="123"/>
      <c r="V17" s="123"/>
      <c r="W17" s="123"/>
      <c r="X17" s="123"/>
      <c r="Y17" s="123"/>
      <c r="Z17" s="98">
        <f t="shared" si="0"/>
        <v>0</v>
      </c>
      <c r="AA17" s="52">
        <f t="shared" si="1"/>
      </c>
      <c r="AB17" s="247">
        <f t="shared" si="17"/>
        <v>0</v>
      </c>
      <c r="AC17" s="128">
        <f t="shared" si="18"/>
      </c>
      <c r="AD17" s="129">
        <f t="shared" si="2"/>
        <v>0</v>
      </c>
      <c r="AE17" s="80"/>
      <c r="AF17" s="1"/>
      <c r="AG17" s="214">
        <f t="shared" si="19"/>
      </c>
      <c r="AH17" s="215">
        <f t="shared" si="3"/>
      </c>
      <c r="AI17" s="215">
        <f t="shared" si="4"/>
      </c>
      <c r="AJ17" s="215">
        <f t="shared" si="5"/>
      </c>
      <c r="AK17" s="215">
        <f t="shared" si="6"/>
      </c>
      <c r="AL17" s="216">
        <f t="shared" si="7"/>
      </c>
      <c r="AM17" s="199"/>
      <c r="AN17" s="199"/>
      <c r="AO17" s="206">
        <f t="shared" si="20"/>
        <v>0</v>
      </c>
      <c r="AP17" s="207">
        <f t="shared" si="21"/>
        <v>0</v>
      </c>
      <c r="AQ17" s="207">
        <f t="shared" si="22"/>
        <v>0</v>
      </c>
      <c r="AR17" s="208">
        <f t="shared" si="23"/>
        <v>0</v>
      </c>
      <c r="AS17" s="199"/>
      <c r="AT17" s="209">
        <v>1</v>
      </c>
      <c r="AU17" s="205">
        <v>1</v>
      </c>
      <c r="AV17" s="205">
        <v>1</v>
      </c>
      <c r="AW17" s="205">
        <v>1</v>
      </c>
      <c r="AX17" s="205">
        <v>1</v>
      </c>
      <c r="AY17" s="210">
        <v>1</v>
      </c>
      <c r="AZ17" s="199"/>
      <c r="BA17" s="223">
        <f t="shared" si="24"/>
      </c>
      <c r="BB17" s="224">
        <f t="shared" si="8"/>
      </c>
      <c r="BC17" s="224">
        <f t="shared" si="9"/>
      </c>
      <c r="BD17" s="224">
        <f t="shared" si="10"/>
      </c>
      <c r="BE17" s="224">
        <f t="shared" si="11"/>
      </c>
      <c r="BF17" s="225">
        <f t="shared" si="12"/>
      </c>
      <c r="BG17" s="199"/>
      <c r="BH17" s="16">
        <v>1</v>
      </c>
      <c r="BI17" s="12" t="e">
        <f>VLOOKUP(E17,$BP:$BV,2,FALSE)</f>
        <v>#N/A</v>
      </c>
      <c r="BJ17" s="12" t="e">
        <f>VLOOKUP(E17,$BP:$BV,3,FALSE)</f>
        <v>#N/A</v>
      </c>
      <c r="BK17" s="12" t="e">
        <f>VLOOKUP(E17,$BP:$BV,4,FALSE)</f>
        <v>#N/A</v>
      </c>
      <c r="BL17" s="12" t="e">
        <f>VLOOKUP(E17,$BP:$BV,5,FALSE)</f>
        <v>#N/A</v>
      </c>
      <c r="BM17" s="7">
        <f>(IF(E17&lt;&gt;"",VLOOKUP(E17,BP:BV,7,FALSE),"0")+(AB17*1000))</f>
        <v>0</v>
      </c>
      <c r="BN17" s="7"/>
      <c r="BO17" s="151">
        <v>15</v>
      </c>
      <c r="BP17" s="3" t="s">
        <v>365</v>
      </c>
      <c r="BQ17" s="4">
        <v>7</v>
      </c>
      <c r="BR17" s="4">
        <v>3</v>
      </c>
      <c r="BS17" s="4">
        <v>3</v>
      </c>
      <c r="BT17" s="4">
        <v>7</v>
      </c>
      <c r="BU17" s="20" t="s">
        <v>370</v>
      </c>
      <c r="BV17" s="5">
        <v>50000</v>
      </c>
      <c r="BW17" s="5" t="s">
        <v>45</v>
      </c>
      <c r="BX17" s="5" t="s">
        <v>70</v>
      </c>
      <c r="BY17" s="5">
        <v>1</v>
      </c>
      <c r="BZ17" s="274"/>
      <c r="CA17" s="6">
        <v>14</v>
      </c>
      <c r="CB17" s="32" t="s">
        <v>153</v>
      </c>
      <c r="CC17" s="5">
        <v>60000</v>
      </c>
      <c r="CD17" s="32" t="s">
        <v>153</v>
      </c>
      <c r="CE17" s="5">
        <v>1</v>
      </c>
      <c r="CF17" s="5"/>
      <c r="CG17" s="34">
        <f t="shared" si="13"/>
      </c>
      <c r="CH17" s="2">
        <f t="shared" si="14"/>
      </c>
      <c r="CI17" s="35">
        <f>HLOOKUP(K$24,CL$4:DJ$23,15,FALSE)</f>
        <v>0</v>
      </c>
      <c r="CJ17" s="5"/>
      <c r="CK17" s="6"/>
      <c r="CL17" s="14" t="s">
        <v>533</v>
      </c>
      <c r="CM17" s="3"/>
      <c r="CN17"/>
      <c r="CO17" s="3" t="s">
        <v>315</v>
      </c>
      <c r="CP17" s="14" t="s">
        <v>534</v>
      </c>
      <c r="CQ17" s="14"/>
      <c r="CR17" s="14" t="s">
        <v>535</v>
      </c>
      <c r="CS17" s="14" t="s">
        <v>536</v>
      </c>
      <c r="CT17" s="3" t="s">
        <v>497</v>
      </c>
      <c r="CU17" s="3"/>
      <c r="CV17" s="14" t="s">
        <v>537</v>
      </c>
      <c r="CW17" s="14" t="s">
        <v>529</v>
      </c>
      <c r="CX17" s="3"/>
      <c r="CY17" s="3"/>
      <c r="CZ17" s="14" t="s">
        <v>525</v>
      </c>
      <c r="DA17" s="64" t="s">
        <v>507</v>
      </c>
      <c r="DB17" s="14" t="s">
        <v>530</v>
      </c>
      <c r="DC17"/>
      <c r="DD17" s="3" t="s">
        <v>513</v>
      </c>
      <c r="DE17" s="14" t="s">
        <v>538</v>
      </c>
      <c r="DF17" s="3"/>
      <c r="DG17" s="3" t="s">
        <v>518</v>
      </c>
      <c r="DH17"/>
      <c r="DI17" s="3"/>
      <c r="DJ17" s="14" t="s">
        <v>536</v>
      </c>
      <c r="DK17" s="9"/>
      <c r="DL17" s="151">
        <v>15</v>
      </c>
      <c r="DM17" s="3" t="s">
        <v>607</v>
      </c>
      <c r="DN17" s="4">
        <v>7</v>
      </c>
      <c r="DO17" s="4">
        <v>3</v>
      </c>
      <c r="DP17" s="4">
        <v>3</v>
      </c>
      <c r="DQ17" s="4">
        <v>7</v>
      </c>
      <c r="DR17" s="20" t="s">
        <v>704</v>
      </c>
      <c r="DS17" s="5">
        <v>80000</v>
      </c>
      <c r="DT17" s="274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</row>
    <row r="18" spans="2:149" ht="18" customHeight="1">
      <c r="B18" s="72"/>
      <c r="C18" s="138">
        <v>14</v>
      </c>
      <c r="D18" s="126"/>
      <c r="E18" s="43">
        <f>IF(BH18&lt;=1,"",VLOOKUP(BH18,CG:CH,2,FALSE))</f>
      </c>
      <c r="F18" s="49">
        <f>IF(E18&lt;&gt;"",VLOOKUP(E18,$BP:$BV,2,FALSE)+P18+AO18,"")</f>
      </c>
      <c r="G18" s="49">
        <f>IF(E18&lt;&gt;"",VLOOKUP(E18,$BP:$BV,3,FALSE)+Q18+AP18,"")</f>
      </c>
      <c r="H18" s="49">
        <f>IF(E18&lt;&gt;"",VLOOKUP(E18,$BP:$BV,4,FALSE)+R18+AQ18,"")</f>
      </c>
      <c r="I18" s="49">
        <f>IF(E18&lt;&gt;"",VLOOKUP(E18,$BP:$BV,5,FALSE)+S18+AR18,"")</f>
      </c>
      <c r="J18" s="45">
        <f>IF(E18="","",IF(COUNTIF(E5:E20,E18)&gt;VLOOKUP(E18,BP:BY,10,FALSE),"ERRORE! TROPPI GIOCATORI IN QUESTO RUOLO!",VLOOKUP(E18,BP:BV,6,FALSE)))</f>
      </c>
      <c r="K18" s="204">
        <f t="shared" si="16"/>
      </c>
      <c r="L18" s="47">
        <f>IF(Z18="Star","",(IF(E18&lt;&gt;"",VLOOKUP(E18,BP:BX,8,FALSE),"")))</f>
      </c>
      <c r="M18" s="47">
        <f>IF(Z18="Star","",(IF(E18&lt;&gt;"",VLOOKUP(E18,BP:BX,9,FALSE),"")))</f>
      </c>
      <c r="N18" s="120"/>
      <c r="O18" s="120"/>
      <c r="P18" s="119"/>
      <c r="Q18" s="119"/>
      <c r="R18" s="119"/>
      <c r="S18" s="119"/>
      <c r="T18" s="123"/>
      <c r="U18" s="123"/>
      <c r="V18" s="123"/>
      <c r="W18" s="123"/>
      <c r="X18" s="123"/>
      <c r="Y18" s="123"/>
      <c r="Z18" s="98">
        <f t="shared" si="0"/>
        <v>0</v>
      </c>
      <c r="AA18" s="52">
        <f t="shared" si="1"/>
      </c>
      <c r="AB18" s="247">
        <f t="shared" si="17"/>
        <v>0</v>
      </c>
      <c r="AC18" s="128">
        <f t="shared" si="18"/>
      </c>
      <c r="AD18" s="129">
        <f t="shared" si="2"/>
        <v>0</v>
      </c>
      <c r="AE18" s="80"/>
      <c r="AF18" s="1"/>
      <c r="AG18" s="214">
        <f t="shared" si="19"/>
      </c>
      <c r="AH18" s="215">
        <f t="shared" si="3"/>
      </c>
      <c r="AI18" s="215">
        <f t="shared" si="4"/>
      </c>
      <c r="AJ18" s="215">
        <f t="shared" si="5"/>
      </c>
      <c r="AK18" s="215">
        <f t="shared" si="6"/>
      </c>
      <c r="AL18" s="216">
        <f t="shared" si="7"/>
      </c>
      <c r="AM18" s="199"/>
      <c r="AN18" s="199"/>
      <c r="AO18" s="206">
        <f t="shared" si="20"/>
        <v>0</v>
      </c>
      <c r="AP18" s="207">
        <f t="shared" si="21"/>
        <v>0</v>
      </c>
      <c r="AQ18" s="207">
        <f t="shared" si="22"/>
        <v>0</v>
      </c>
      <c r="AR18" s="208">
        <f t="shared" si="23"/>
        <v>0</v>
      </c>
      <c r="AS18" s="199"/>
      <c r="AT18" s="209">
        <v>1</v>
      </c>
      <c r="AU18" s="205">
        <v>1</v>
      </c>
      <c r="AV18" s="205">
        <v>1</v>
      </c>
      <c r="AW18" s="205">
        <v>1</v>
      </c>
      <c r="AX18" s="205">
        <v>1</v>
      </c>
      <c r="AY18" s="210">
        <v>1</v>
      </c>
      <c r="AZ18" s="199"/>
      <c r="BA18" s="223">
        <f t="shared" si="24"/>
      </c>
      <c r="BB18" s="224">
        <f t="shared" si="8"/>
      </c>
      <c r="BC18" s="224">
        <f t="shared" si="9"/>
      </c>
      <c r="BD18" s="224">
        <f t="shared" si="10"/>
      </c>
      <c r="BE18" s="224">
        <f t="shared" si="11"/>
      </c>
      <c r="BF18" s="225">
        <f t="shared" si="12"/>
      </c>
      <c r="BG18" s="199"/>
      <c r="BH18" s="16">
        <v>1</v>
      </c>
      <c r="BI18" s="12" t="e">
        <f>VLOOKUP(E18,$BP:$BV,2,FALSE)</f>
        <v>#N/A</v>
      </c>
      <c r="BJ18" s="12" t="e">
        <f>VLOOKUP(E18,$BP:$BV,3,FALSE)</f>
        <v>#N/A</v>
      </c>
      <c r="BK18" s="12" t="e">
        <f>VLOOKUP(E18,$BP:$BV,4,FALSE)</f>
        <v>#N/A</v>
      </c>
      <c r="BL18" s="12" t="e">
        <f>VLOOKUP(E18,$BP:$BV,5,FALSE)</f>
        <v>#N/A</v>
      </c>
      <c r="BM18" s="7">
        <f>(IF(E18&lt;&gt;"",VLOOKUP(E18,BP:BV,7,FALSE),"0")+(AB18*1000))</f>
        <v>0</v>
      </c>
      <c r="BN18" s="7"/>
      <c r="BO18" s="151">
        <v>16</v>
      </c>
      <c r="BP18" s="3" t="s">
        <v>366</v>
      </c>
      <c r="BQ18" s="4">
        <v>6</v>
      </c>
      <c r="BR18" s="4">
        <v>3</v>
      </c>
      <c r="BS18" s="4">
        <v>4</v>
      </c>
      <c r="BT18" s="4">
        <v>8</v>
      </c>
      <c r="BU18" s="20" t="s">
        <v>370</v>
      </c>
      <c r="BV18" s="5">
        <v>70000</v>
      </c>
      <c r="BW18" s="5" t="s">
        <v>373</v>
      </c>
      <c r="BX18" s="5" t="s">
        <v>72</v>
      </c>
      <c r="BY18" s="5">
        <v>1</v>
      </c>
      <c r="BZ18" s="274"/>
      <c r="CA18" s="6">
        <v>15</v>
      </c>
      <c r="CB18" s="32" t="s">
        <v>158</v>
      </c>
      <c r="CC18" s="5">
        <v>70000</v>
      </c>
      <c r="CD18" s="32" t="s">
        <v>158</v>
      </c>
      <c r="CE18" s="5">
        <v>0</v>
      </c>
      <c r="CF18" s="5"/>
      <c r="CG18" s="34">
        <f t="shared" si="13"/>
      </c>
      <c r="CH18" s="2">
        <f t="shared" si="14"/>
      </c>
      <c r="CI18" s="35">
        <f>HLOOKUP(K$24,CL$4:DJ$23,16,FALSE)</f>
        <v>0</v>
      </c>
      <c r="CJ18" s="5"/>
      <c r="CK18" s="6"/>
      <c r="CM18" s="3"/>
      <c r="CN18"/>
      <c r="CO18" s="3" t="s">
        <v>492</v>
      </c>
      <c r="CP18" s="3"/>
      <c r="CQ18" s="3"/>
      <c r="CR18" s="14" t="s">
        <v>539</v>
      </c>
      <c r="CS18" s="14" t="s">
        <v>537</v>
      </c>
      <c r="CT18" s="14" t="s">
        <v>527</v>
      </c>
      <c r="CU18" s="3"/>
      <c r="CV18" s="14" t="s">
        <v>540</v>
      </c>
      <c r="CW18" s="14" t="s">
        <v>533</v>
      </c>
      <c r="CX18" s="3"/>
      <c r="CY18" s="3"/>
      <c r="CZ18" s="14" t="s">
        <v>528</v>
      </c>
      <c r="DA18" s="14" t="s">
        <v>529</v>
      </c>
      <c r="DB18" s="3"/>
      <c r="DC18" s="3"/>
      <c r="DD18" s="14" t="s">
        <v>527</v>
      </c>
      <c r="DE18" s="14" t="s">
        <v>541</v>
      </c>
      <c r="DF18" s="3"/>
      <c r="DG18" s="14" t="s">
        <v>525</v>
      </c>
      <c r="DH18"/>
      <c r="DI18" s="3"/>
      <c r="DJ18" s="14" t="s">
        <v>537</v>
      </c>
      <c r="DK18" s="9"/>
      <c r="DL18" s="151">
        <v>16</v>
      </c>
      <c r="DM18" s="3" t="s">
        <v>608</v>
      </c>
      <c r="DN18" s="4">
        <v>6</v>
      </c>
      <c r="DO18" s="4">
        <v>3</v>
      </c>
      <c r="DP18" s="4">
        <v>4</v>
      </c>
      <c r="DQ18" s="4">
        <v>8</v>
      </c>
      <c r="DR18" s="20" t="s">
        <v>704</v>
      </c>
      <c r="DS18" s="5">
        <v>100000</v>
      </c>
      <c r="DT18" s="274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</row>
    <row r="19" spans="2:149" ht="18" customHeight="1">
      <c r="B19" s="72"/>
      <c r="C19" s="138">
        <v>15</v>
      </c>
      <c r="D19" s="126"/>
      <c r="E19" s="43">
        <f>IF(BH19&lt;=1,"",VLOOKUP(BH19,CG:CH,2,FALSE))</f>
      </c>
      <c r="F19" s="49">
        <f>IF(E19&lt;&gt;"",VLOOKUP(E19,$BP:$BV,2,FALSE)+P19+AO19,"")</f>
      </c>
      <c r="G19" s="49">
        <f>IF(E19&lt;&gt;"",VLOOKUP(E19,$BP:$BV,3,FALSE)+Q19+AP19,"")</f>
      </c>
      <c r="H19" s="49">
        <f>IF(E19&lt;&gt;"",VLOOKUP(E19,$BP:$BV,4,FALSE)+R19+AQ19,"")</f>
      </c>
      <c r="I19" s="49">
        <f>IF(E19&lt;&gt;"",VLOOKUP(E19,$BP:$BV,5,FALSE)+S19+AR19,"")</f>
      </c>
      <c r="J19" s="45">
        <f>IF(E19="","",IF(COUNTIF(E5:E20,E19)&gt;VLOOKUP(E19,BP:BY,10,FALSE),"ERRORE! TROPPI GIOCATORI IN QUESTO RUOLO!",VLOOKUP(E19,BP:BV,6,FALSE)))</f>
      </c>
      <c r="K19" s="204">
        <f t="shared" si="16"/>
      </c>
      <c r="L19" s="47">
        <f>IF(Z19="Star","",(IF(E19&lt;&gt;"",VLOOKUP(E19,BP:BX,8,FALSE),"")))</f>
      </c>
      <c r="M19" s="47">
        <f>IF(Z19="Star","",(IF(E19&lt;&gt;"",VLOOKUP(E19,BP:BX,9,FALSE),"")))</f>
      </c>
      <c r="N19" s="120"/>
      <c r="O19" s="120"/>
      <c r="P19" s="119"/>
      <c r="Q19" s="119"/>
      <c r="R19" s="119"/>
      <c r="S19" s="119"/>
      <c r="T19" s="123"/>
      <c r="U19" s="123"/>
      <c r="V19" s="123"/>
      <c r="W19" s="123"/>
      <c r="X19" s="123"/>
      <c r="Y19" s="123"/>
      <c r="Z19" s="98">
        <f t="shared" si="0"/>
        <v>0</v>
      </c>
      <c r="AA19" s="52">
        <f t="shared" si="1"/>
      </c>
      <c r="AB19" s="247">
        <f t="shared" si="17"/>
        <v>0</v>
      </c>
      <c r="AC19" s="128">
        <f t="shared" si="18"/>
      </c>
      <c r="AD19" s="129">
        <f t="shared" si="2"/>
        <v>0</v>
      </c>
      <c r="AE19" s="80"/>
      <c r="AF19" s="1"/>
      <c r="AG19" s="214">
        <f t="shared" si="19"/>
      </c>
      <c r="AH19" s="215">
        <f t="shared" si="3"/>
      </c>
      <c r="AI19" s="215">
        <f t="shared" si="4"/>
      </c>
      <c r="AJ19" s="215">
        <f t="shared" si="5"/>
      </c>
      <c r="AK19" s="215">
        <f t="shared" si="6"/>
      </c>
      <c r="AL19" s="216">
        <f t="shared" si="7"/>
      </c>
      <c r="AM19" s="199"/>
      <c r="AN19" s="199"/>
      <c r="AO19" s="206">
        <f t="shared" si="20"/>
        <v>0</v>
      </c>
      <c r="AP19" s="207">
        <f t="shared" si="21"/>
        <v>0</v>
      </c>
      <c r="AQ19" s="207">
        <f t="shared" si="22"/>
        <v>0</v>
      </c>
      <c r="AR19" s="208">
        <f t="shared" si="23"/>
        <v>0</v>
      </c>
      <c r="AS19" s="199"/>
      <c r="AT19" s="209">
        <v>1</v>
      </c>
      <c r="AU19" s="205">
        <v>1</v>
      </c>
      <c r="AV19" s="205">
        <v>1</v>
      </c>
      <c r="AW19" s="205">
        <v>1</v>
      </c>
      <c r="AX19" s="205">
        <v>1</v>
      </c>
      <c r="AY19" s="210">
        <v>1</v>
      </c>
      <c r="AZ19" s="199"/>
      <c r="BA19" s="223">
        <f t="shared" si="24"/>
      </c>
      <c r="BB19" s="224">
        <f t="shared" si="8"/>
      </c>
      <c r="BC19" s="224">
        <f t="shared" si="9"/>
      </c>
      <c r="BD19" s="224">
        <f t="shared" si="10"/>
      </c>
      <c r="BE19" s="224">
        <f t="shared" si="11"/>
      </c>
      <c r="BF19" s="225">
        <f t="shared" si="12"/>
      </c>
      <c r="BG19" s="199"/>
      <c r="BH19" s="16">
        <v>1</v>
      </c>
      <c r="BI19" s="12" t="e">
        <f>VLOOKUP(E19,$BP:$BV,2,FALSE)</f>
        <v>#N/A</v>
      </c>
      <c r="BJ19" s="12" t="e">
        <f>VLOOKUP(E19,$BP:$BV,3,FALSE)</f>
        <v>#N/A</v>
      </c>
      <c r="BK19" s="12" t="e">
        <f>VLOOKUP(E19,$BP:$BV,4,FALSE)</f>
        <v>#N/A</v>
      </c>
      <c r="BL19" s="12" t="e">
        <f>VLOOKUP(E19,$BP:$BV,5,FALSE)</f>
        <v>#N/A</v>
      </c>
      <c r="BM19" s="7">
        <f>(IF(E19&lt;&gt;"",VLOOKUP(E19,BP:BV,7,FALSE),"0")+(AB19*1000))</f>
        <v>0</v>
      </c>
      <c r="BN19" s="7"/>
      <c r="BO19" s="151">
        <v>17</v>
      </c>
      <c r="BP19" s="3" t="s">
        <v>367</v>
      </c>
      <c r="BQ19" s="4">
        <v>4</v>
      </c>
      <c r="BR19" s="4">
        <v>5</v>
      </c>
      <c r="BS19" s="4">
        <v>1</v>
      </c>
      <c r="BT19" s="4">
        <v>9</v>
      </c>
      <c r="BU19" s="20" t="s">
        <v>128</v>
      </c>
      <c r="BV19" s="5">
        <v>110000</v>
      </c>
      <c r="BW19" s="5" t="s">
        <v>92</v>
      </c>
      <c r="BX19" s="5" t="s">
        <v>7</v>
      </c>
      <c r="BY19" s="5">
        <v>1</v>
      </c>
      <c r="BZ19" s="274"/>
      <c r="CA19" s="6">
        <v>16</v>
      </c>
      <c r="CB19" s="31" t="s">
        <v>36</v>
      </c>
      <c r="CC19" s="5">
        <v>60000</v>
      </c>
      <c r="CD19" s="31" t="s">
        <v>36</v>
      </c>
      <c r="CE19" s="5">
        <v>1</v>
      </c>
      <c r="CF19" s="5"/>
      <c r="CG19" s="34">
        <f t="shared" si="13"/>
      </c>
      <c r="CH19" s="2">
        <f t="shared" si="14"/>
      </c>
      <c r="CI19" s="35">
        <f>HLOOKUP(K$24,CL$4:DJ$23,17,FALSE)</f>
        <v>0</v>
      </c>
      <c r="CJ19" s="5"/>
      <c r="CK19" s="6"/>
      <c r="CM19" s="3"/>
      <c r="CN19" s="9"/>
      <c r="CO19"/>
      <c r="CP19" s="3"/>
      <c r="CQ19" s="3"/>
      <c r="CR19" s="14" t="s">
        <v>542</v>
      </c>
      <c r="CS19" s="14" t="s">
        <v>540</v>
      </c>
      <c r="CT19" s="14" t="s">
        <v>543</v>
      </c>
      <c r="CU19" s="8"/>
      <c r="CV19" s="14" t="s">
        <v>544</v>
      </c>
      <c r="CW19" s="14" t="s">
        <v>539</v>
      </c>
      <c r="CX19" s="3"/>
      <c r="CY19" s="3"/>
      <c r="CZ19"/>
      <c r="DA19" s="14" t="s">
        <v>533</v>
      </c>
      <c r="DB19" s="3"/>
      <c r="DC19" s="3"/>
      <c r="DD19" s="14" t="s">
        <v>545</v>
      </c>
      <c r="DE19" s="14" t="s">
        <v>546</v>
      </c>
      <c r="DF19" s="3"/>
      <c r="DG19" s="14" t="s">
        <v>528</v>
      </c>
      <c r="DH19"/>
      <c r="DI19" s="3"/>
      <c r="DJ19" s="14" t="s">
        <v>540</v>
      </c>
      <c r="DK19" s="9"/>
      <c r="DL19" s="151">
        <v>17</v>
      </c>
      <c r="DM19" s="3" t="s">
        <v>609</v>
      </c>
      <c r="DN19" s="4">
        <v>4</v>
      </c>
      <c r="DO19" s="4">
        <v>5</v>
      </c>
      <c r="DP19" s="4">
        <v>1</v>
      </c>
      <c r="DQ19" s="4">
        <v>9</v>
      </c>
      <c r="DR19" s="20" t="s">
        <v>128</v>
      </c>
      <c r="DS19" s="5">
        <v>140000</v>
      </c>
      <c r="DT19" s="274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</row>
    <row r="20" spans="2:149" ht="18" customHeight="1" thickBot="1">
      <c r="B20" s="72"/>
      <c r="C20" s="139">
        <v>16</v>
      </c>
      <c r="D20" s="127"/>
      <c r="E20" s="54">
        <f>IF(BH20&lt;=1,"",VLOOKUP(BH20,CG:CH,2,FALSE))</f>
      </c>
      <c r="F20" s="49">
        <f>IF(E20&lt;&gt;"",VLOOKUP(E20,$BP:$BV,2,FALSE)+P20+AO20,"")</f>
      </c>
      <c r="G20" s="49">
        <f>IF(E20&lt;&gt;"",VLOOKUP(E20,$BP:$BV,3,FALSE)+Q20+AP20,"")</f>
      </c>
      <c r="H20" s="49">
        <f>IF(E20&lt;&gt;"",VLOOKUP(E20,$BP:$BV,4,FALSE)+R20+AQ20,"")</f>
      </c>
      <c r="I20" s="49">
        <f>IF(E20&lt;&gt;"",VLOOKUP(E20,$BP:$BV,5,FALSE)+S20+AR20,"")</f>
      </c>
      <c r="J20" s="96">
        <f>IF(E20="","",IF(COUNTIF(E5:E20,E20)&gt;VLOOKUP(E20,BP:BY,10,FALSE),"ERRORE! TROPPI GIOCATORI IN QUESTO RUOLO!",VLOOKUP(E20,BP:BV,6,FALSE)))</f>
      </c>
      <c r="K20" s="204">
        <f t="shared" si="16"/>
      </c>
      <c r="L20" s="97">
        <f>IF(Z20="Star","",(IF(E20&lt;&gt;"",VLOOKUP(E20,BP:BX,8,FALSE),"")))</f>
      </c>
      <c r="M20" s="97">
        <f>IF(Z20="Star","",(IF(E20&lt;&gt;"",VLOOKUP(E20,BP:BX,9,FALSE),"")))</f>
      </c>
      <c r="N20" s="121"/>
      <c r="O20" s="121"/>
      <c r="P20" s="119"/>
      <c r="Q20" s="119"/>
      <c r="R20" s="119"/>
      <c r="S20" s="119"/>
      <c r="T20" s="124"/>
      <c r="U20" s="124"/>
      <c r="V20" s="124"/>
      <c r="W20" s="124"/>
      <c r="X20" s="124"/>
      <c r="Y20" s="124"/>
      <c r="Z20" s="98">
        <f t="shared" si="0"/>
        <v>0</v>
      </c>
      <c r="AA20" s="52">
        <f t="shared" si="1"/>
      </c>
      <c r="AB20" s="247">
        <f t="shared" si="17"/>
        <v>0</v>
      </c>
      <c r="AC20" s="128">
        <f t="shared" si="18"/>
      </c>
      <c r="AD20" s="129">
        <f t="shared" si="2"/>
        <v>0</v>
      </c>
      <c r="AE20" s="80"/>
      <c r="AF20" s="1"/>
      <c r="AG20" s="217">
        <f t="shared" si="19"/>
      </c>
      <c r="AH20" s="218">
        <f t="shared" si="3"/>
      </c>
      <c r="AI20" s="218">
        <f t="shared" si="4"/>
      </c>
      <c r="AJ20" s="218">
        <f t="shared" si="5"/>
      </c>
      <c r="AK20" s="218">
        <f t="shared" si="6"/>
      </c>
      <c r="AL20" s="219">
        <f t="shared" si="7"/>
      </c>
      <c r="AM20" s="199"/>
      <c r="AN20" s="199"/>
      <c r="AO20" s="211">
        <f t="shared" si="20"/>
        <v>0</v>
      </c>
      <c r="AP20" s="212">
        <f t="shared" si="21"/>
        <v>0</v>
      </c>
      <c r="AQ20" s="212">
        <f t="shared" si="22"/>
        <v>0</v>
      </c>
      <c r="AR20" s="213">
        <f t="shared" si="23"/>
        <v>0</v>
      </c>
      <c r="AS20" s="199"/>
      <c r="AT20" s="211">
        <v>1</v>
      </c>
      <c r="AU20" s="212">
        <v>1</v>
      </c>
      <c r="AV20" s="212">
        <v>1</v>
      </c>
      <c r="AW20" s="212">
        <v>1</v>
      </c>
      <c r="AX20" s="212">
        <v>1</v>
      </c>
      <c r="AY20" s="213">
        <v>1</v>
      </c>
      <c r="AZ20" s="199"/>
      <c r="BA20" s="226">
        <f t="shared" si="24"/>
      </c>
      <c r="BB20" s="227">
        <f t="shared" si="8"/>
      </c>
      <c r="BC20" s="227">
        <f t="shared" si="9"/>
      </c>
      <c r="BD20" s="227">
        <f t="shared" si="10"/>
      </c>
      <c r="BE20" s="227">
        <f t="shared" si="11"/>
      </c>
      <c r="BF20" s="228">
        <f t="shared" si="12"/>
      </c>
      <c r="BG20" s="199"/>
      <c r="BH20" s="16">
        <v>1</v>
      </c>
      <c r="BI20" s="12" t="e">
        <f>VLOOKUP(E20,$BP:$BV,2,FALSE)</f>
        <v>#N/A</v>
      </c>
      <c r="BJ20" s="12" t="e">
        <f>VLOOKUP(E20,$BP:$BV,3,FALSE)</f>
        <v>#N/A</v>
      </c>
      <c r="BK20" s="12" t="e">
        <f>VLOOKUP(E20,$BP:$BV,4,FALSE)</f>
        <v>#N/A</v>
      </c>
      <c r="BL20" s="12" t="e">
        <f>VLOOKUP(E20,$BP:$BV,5,FALSE)</f>
        <v>#N/A</v>
      </c>
      <c r="BM20" s="7">
        <f>(IF(E20&lt;&gt;"",VLOOKUP(E20,BP:BV,7,FALSE),"0")+(AB20*1000))</f>
        <v>0</v>
      </c>
      <c r="BN20" s="7"/>
      <c r="BO20" s="151">
        <v>18</v>
      </c>
      <c r="BP20" s="3" t="s">
        <v>368</v>
      </c>
      <c r="BQ20" s="4">
        <v>5</v>
      </c>
      <c r="BR20" s="4">
        <v>5</v>
      </c>
      <c r="BS20" s="4">
        <v>2</v>
      </c>
      <c r="BT20" s="4">
        <v>9</v>
      </c>
      <c r="BU20" s="20" t="s">
        <v>146</v>
      </c>
      <c r="BV20" s="5">
        <v>140000</v>
      </c>
      <c r="BW20" s="5" t="s">
        <v>92</v>
      </c>
      <c r="BX20" s="5" t="s">
        <v>7</v>
      </c>
      <c r="BY20" s="5">
        <v>1</v>
      </c>
      <c r="BZ20" s="274"/>
      <c r="CA20" s="6">
        <v>17</v>
      </c>
      <c r="CB20" s="32" t="s">
        <v>51</v>
      </c>
      <c r="CC20" s="5">
        <v>70000</v>
      </c>
      <c r="CD20" s="32" t="s">
        <v>51</v>
      </c>
      <c r="CE20" s="5">
        <v>0</v>
      </c>
      <c r="CF20" s="5"/>
      <c r="CG20" s="34">
        <f t="shared" si="13"/>
      </c>
      <c r="CH20" s="2">
        <f t="shared" si="14"/>
      </c>
      <c r="CI20" s="35">
        <f>HLOOKUP(K$24,CL$4:DJ$23,18,FALSE)</f>
        <v>0</v>
      </c>
      <c r="CJ20" s="5"/>
      <c r="CK20" s="6"/>
      <c r="CL20" s="14"/>
      <c r="CM20" s="8"/>
      <c r="CN20" s="9"/>
      <c r="CO20"/>
      <c r="CP20" s="8"/>
      <c r="CQ20" s="8"/>
      <c r="CR20" s="14" t="s">
        <v>547</v>
      </c>
      <c r="CS20" s="14" t="s">
        <v>544</v>
      </c>
      <c r="CT20" s="8"/>
      <c r="CU20" s="8"/>
      <c r="CV20" s="8"/>
      <c r="CW20" s="14" t="s">
        <v>526</v>
      </c>
      <c r="CX20" s="3"/>
      <c r="CY20" s="3"/>
      <c r="CZ20" s="9"/>
      <c r="DA20" s="9"/>
      <c r="DB20" s="9"/>
      <c r="DC20" s="3"/>
      <c r="DD20" s="14" t="s">
        <v>543</v>
      </c>
      <c r="DE20" s="14" t="s">
        <v>548</v>
      </c>
      <c r="DF20" s="3"/>
      <c r="DG20" s="8"/>
      <c r="DH20"/>
      <c r="DI20" s="33"/>
      <c r="DJ20" s="14" t="s">
        <v>544</v>
      </c>
      <c r="DK20" s="9"/>
      <c r="DL20" s="151">
        <v>18</v>
      </c>
      <c r="DM20" s="3" t="s">
        <v>610</v>
      </c>
      <c r="DN20" s="4">
        <v>5</v>
      </c>
      <c r="DO20" s="4">
        <v>5</v>
      </c>
      <c r="DP20" s="4">
        <v>2</v>
      </c>
      <c r="DQ20" s="4">
        <v>9</v>
      </c>
      <c r="DR20" s="20" t="s">
        <v>146</v>
      </c>
      <c r="DS20" s="5">
        <v>170000</v>
      </c>
      <c r="DT20" s="274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</row>
    <row r="21" spans="2:149" ht="17.25" customHeight="1" thickBot="1">
      <c r="B21" s="72"/>
      <c r="C21" s="276" t="s">
        <v>180</v>
      </c>
      <c r="D21" s="277"/>
      <c r="E21" s="276" t="s">
        <v>208</v>
      </c>
      <c r="F21" s="284"/>
      <c r="G21" s="284"/>
      <c r="H21" s="284"/>
      <c r="I21" s="277"/>
      <c r="J21" s="93" t="s">
        <v>64</v>
      </c>
      <c r="K21" s="130">
        <f>ROUNDDOWN((AC28/10000),0)+ROUNDDOWN((SUM(Z5:Z20)/5),0)</f>
        <v>0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0" t="s">
        <v>218</v>
      </c>
      <c r="AC21" s="261">
        <f>SUM(AD5:AD20)</f>
        <v>0</v>
      </c>
      <c r="AD21" s="262"/>
      <c r="AE21" s="79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 t="s">
        <v>829</v>
      </c>
      <c r="AU21" s="13"/>
      <c r="AV21" s="13"/>
      <c r="AW21" s="13"/>
      <c r="AX21" s="13"/>
      <c r="AY21" s="13"/>
      <c r="AZ21" s="13"/>
      <c r="BA21" s="254" t="s">
        <v>827</v>
      </c>
      <c r="BB21" s="13"/>
      <c r="BC21" s="13"/>
      <c r="BD21" s="13"/>
      <c r="BE21" s="13"/>
      <c r="BF21" s="13"/>
      <c r="BG21" s="13"/>
      <c r="BH21" s="1"/>
      <c r="BI21" s="1"/>
      <c r="BJ21" s="1"/>
      <c r="BK21" s="1"/>
      <c r="BL21" s="1"/>
      <c r="BM21" s="1"/>
      <c r="BN21" s="1"/>
      <c r="BO21" s="151">
        <v>19</v>
      </c>
      <c r="BP21" s="59" t="s">
        <v>473</v>
      </c>
      <c r="BQ21" s="60">
        <v>5</v>
      </c>
      <c r="BR21" s="60">
        <v>5</v>
      </c>
      <c r="BS21" s="60">
        <v>2</v>
      </c>
      <c r="BT21" s="60">
        <v>8</v>
      </c>
      <c r="BU21" s="61" t="s">
        <v>83</v>
      </c>
      <c r="BV21" s="62">
        <v>150000</v>
      </c>
      <c r="BW21" s="62" t="s">
        <v>92</v>
      </c>
      <c r="BX21" s="62" t="s">
        <v>7</v>
      </c>
      <c r="BY21" s="62">
        <v>1</v>
      </c>
      <c r="BZ21" s="275"/>
      <c r="CA21" s="6">
        <v>18</v>
      </c>
      <c r="CB21" s="32" t="s">
        <v>48</v>
      </c>
      <c r="CC21" s="5">
        <v>70000</v>
      </c>
      <c r="CD21" s="32" t="s">
        <v>48</v>
      </c>
      <c r="CE21" s="5">
        <v>1</v>
      </c>
      <c r="CF21" s="5"/>
      <c r="CG21" s="34">
        <f>IF(CH21="","",CG20+1)</f>
      </c>
      <c r="CH21" s="2">
        <f t="shared" si="14"/>
      </c>
      <c r="CI21" s="35">
        <f>HLOOKUP(K$24,CL$4:DJ$23,19,FALSE)</f>
        <v>0</v>
      </c>
      <c r="CJ21" s="5"/>
      <c r="CK21" s="6"/>
      <c r="CM21" s="8"/>
      <c r="CN21" s="9"/>
      <c r="CO21" s="9"/>
      <c r="CP21" s="8"/>
      <c r="CQ21" s="8"/>
      <c r="CR21" s="9"/>
      <c r="CS21" s="14" t="s">
        <v>549</v>
      </c>
      <c r="CT21" s="8"/>
      <c r="CU21" s="8"/>
      <c r="CV21" s="8"/>
      <c r="CW21" s="14" t="s">
        <v>541</v>
      </c>
      <c r="CX21" s="8"/>
      <c r="CY21" s="9"/>
      <c r="CZ21" s="9"/>
      <c r="DA21" s="9"/>
      <c r="DB21" s="9"/>
      <c r="DC21" s="9"/>
      <c r="DD21" s="14" t="s">
        <v>550</v>
      </c>
      <c r="DE21" s="9"/>
      <c r="DF21" s="9"/>
      <c r="DG21" s="8"/>
      <c r="DH21" s="8"/>
      <c r="DI21" s="9"/>
      <c r="DJ21" s="14" t="s">
        <v>549</v>
      </c>
      <c r="DK21" s="9"/>
      <c r="DL21" s="151">
        <v>19</v>
      </c>
      <c r="DM21" s="59" t="s">
        <v>611</v>
      </c>
      <c r="DN21" s="60">
        <v>5</v>
      </c>
      <c r="DO21" s="60">
        <v>5</v>
      </c>
      <c r="DP21" s="60">
        <v>2</v>
      </c>
      <c r="DQ21" s="60">
        <v>8</v>
      </c>
      <c r="DR21" s="61" t="s">
        <v>83</v>
      </c>
      <c r="DS21" s="62">
        <v>180000</v>
      </c>
      <c r="DT21" s="275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</row>
    <row r="22" spans="2:149" ht="17.25" customHeight="1">
      <c r="B22" s="72"/>
      <c r="C22" s="278"/>
      <c r="D22" s="279"/>
      <c r="E22" s="282" t="s">
        <v>205</v>
      </c>
      <c r="F22" s="283"/>
      <c r="G22" s="283"/>
      <c r="H22" s="283"/>
      <c r="I22" s="283"/>
      <c r="J22" s="99" t="s">
        <v>220</v>
      </c>
      <c r="K22" s="131"/>
      <c r="L22" s="113"/>
      <c r="M22" s="114"/>
      <c r="N22" s="114"/>
      <c r="O22" s="114"/>
      <c r="P22" s="114"/>
      <c r="Q22" s="114"/>
      <c r="R22" s="114"/>
      <c r="S22" s="114"/>
      <c r="T22" s="114"/>
      <c r="U22" s="109" t="s">
        <v>210</v>
      </c>
      <c r="V22" s="53">
        <v>0</v>
      </c>
      <c r="W22" s="101" t="s">
        <v>62</v>
      </c>
      <c r="X22" s="267">
        <f>IF(K24&lt;&gt;"",VLOOKUP(K24,CB4:CC28,2,FALSE),0)</f>
        <v>50000</v>
      </c>
      <c r="Y22" s="267"/>
      <c r="Z22" s="267"/>
      <c r="AA22" s="267"/>
      <c r="AB22" s="103" t="s">
        <v>745</v>
      </c>
      <c r="AC22" s="295">
        <f>V22*X22</f>
        <v>0</v>
      </c>
      <c r="AD22" s="296"/>
      <c r="AE22" s="7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50">
        <f aca="true" t="shared" si="25" ref="AT22:AY22">IF(AT5=59,1,(IF(AT5=60,4,(IF(AT5=61,3,(IF(AT5=62,2,0)))))))</f>
        <v>0</v>
      </c>
      <c r="AU22" s="250">
        <f t="shared" si="25"/>
        <v>0</v>
      </c>
      <c r="AV22" s="250">
        <f t="shared" si="25"/>
        <v>0</v>
      </c>
      <c r="AW22" s="250">
        <f t="shared" si="25"/>
        <v>0</v>
      </c>
      <c r="AX22" s="250">
        <f t="shared" si="25"/>
        <v>0</v>
      </c>
      <c r="AY22" s="251">
        <f t="shared" si="25"/>
        <v>0</v>
      </c>
      <c r="AZ22" s="13"/>
      <c r="BA22" s="229" t="str">
        <f aca="true" t="shared" si="26" ref="BA22:BF22">(IF(BA5&lt;&gt;"",VLOOKUP(BA5,$AH$43:$AI$104,2,FALSE),"0"))</f>
        <v>0</v>
      </c>
      <c r="BB22" s="230" t="str">
        <f t="shared" si="26"/>
        <v>0</v>
      </c>
      <c r="BC22" s="230" t="str">
        <f t="shared" si="26"/>
        <v>0</v>
      </c>
      <c r="BD22" s="230" t="str">
        <f t="shared" si="26"/>
        <v>0</v>
      </c>
      <c r="BE22" s="230" t="str">
        <f t="shared" si="26"/>
        <v>0</v>
      </c>
      <c r="BF22" s="231" t="str">
        <f t="shared" si="26"/>
        <v>0</v>
      </c>
      <c r="BG22" s="13"/>
      <c r="BH22" s="1"/>
      <c r="BI22" s="1"/>
      <c r="BJ22" s="1"/>
      <c r="BK22" s="1"/>
      <c r="BL22" s="1"/>
      <c r="BM22" s="1"/>
      <c r="BN22" s="1"/>
      <c r="BO22" s="151">
        <v>20</v>
      </c>
      <c r="BP22" s="55" t="s">
        <v>104</v>
      </c>
      <c r="BQ22" s="56">
        <v>6</v>
      </c>
      <c r="BR22" s="56">
        <v>3</v>
      </c>
      <c r="BS22" s="56">
        <v>4</v>
      </c>
      <c r="BT22" s="56">
        <v>8</v>
      </c>
      <c r="BU22" s="57"/>
      <c r="BV22" s="58">
        <v>70000</v>
      </c>
      <c r="BW22" s="58" t="s">
        <v>69</v>
      </c>
      <c r="BX22" s="58" t="s">
        <v>72</v>
      </c>
      <c r="BY22" s="58">
        <v>16</v>
      </c>
      <c r="BZ22" s="290" t="s">
        <v>93</v>
      </c>
      <c r="CA22" s="6">
        <v>19</v>
      </c>
      <c r="CB22" s="32" t="s">
        <v>184</v>
      </c>
      <c r="CC22" s="5">
        <v>60000</v>
      </c>
      <c r="CD22" s="32" t="s">
        <v>184</v>
      </c>
      <c r="CE22" s="5">
        <v>1</v>
      </c>
      <c r="CF22" s="5"/>
      <c r="CG22" s="34">
        <f t="shared" si="13"/>
      </c>
      <c r="CH22" s="2">
        <f t="shared" si="14"/>
      </c>
      <c r="CI22" s="35">
        <f>HLOOKUP(K$24,CL$4:DJ$23,20,FALSE)</f>
        <v>0</v>
      </c>
      <c r="CJ22" s="5"/>
      <c r="CK22" s="6"/>
      <c r="CM22" s="8"/>
      <c r="CN22" s="9"/>
      <c r="CO22" s="9"/>
      <c r="CP22" s="8"/>
      <c r="CQ22" s="8"/>
      <c r="CR22" s="9"/>
      <c r="CS22" s="14" t="s">
        <v>534</v>
      </c>
      <c r="CT22" s="8"/>
      <c r="CU22" s="8"/>
      <c r="CV22" s="8"/>
      <c r="CW22" s="14" t="s">
        <v>528</v>
      </c>
      <c r="CX22" s="8"/>
      <c r="CY22" s="9"/>
      <c r="CZ22" s="9"/>
      <c r="DA22" s="9"/>
      <c r="DB22" s="9"/>
      <c r="DC22" s="9"/>
      <c r="DD22" s="9"/>
      <c r="DE22" s="9"/>
      <c r="DF22" s="9"/>
      <c r="DG22" s="8"/>
      <c r="DH22" s="8"/>
      <c r="DI22" s="9"/>
      <c r="DJ22" s="8"/>
      <c r="DK22" s="9"/>
      <c r="DL22" s="151">
        <v>20</v>
      </c>
      <c r="DM22" s="55" t="s">
        <v>612</v>
      </c>
      <c r="DN22" s="56">
        <v>6</v>
      </c>
      <c r="DO22" s="56">
        <v>3</v>
      </c>
      <c r="DP22" s="56">
        <v>4</v>
      </c>
      <c r="DQ22" s="56">
        <v>8</v>
      </c>
      <c r="DR22" s="57" t="s">
        <v>491</v>
      </c>
      <c r="DS22" s="58">
        <v>100000</v>
      </c>
      <c r="DT22" s="290" t="s">
        <v>93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</row>
    <row r="23" spans="2:149" ht="17.25" customHeight="1">
      <c r="B23" s="72"/>
      <c r="C23" s="280"/>
      <c r="D23" s="281"/>
      <c r="E23" s="282" t="s">
        <v>206</v>
      </c>
      <c r="F23" s="283"/>
      <c r="G23" s="283"/>
      <c r="H23" s="283"/>
      <c r="I23" s="283"/>
      <c r="J23" s="94" t="s">
        <v>39</v>
      </c>
      <c r="K23" s="131"/>
      <c r="L23" s="115"/>
      <c r="M23" s="116"/>
      <c r="N23" s="116"/>
      <c r="O23" s="116"/>
      <c r="P23" s="116"/>
      <c r="Q23" s="116"/>
      <c r="R23" s="116"/>
      <c r="S23" s="116"/>
      <c r="T23" s="116"/>
      <c r="U23" s="108" t="s">
        <v>209</v>
      </c>
      <c r="V23" s="29">
        <v>0</v>
      </c>
      <c r="W23" s="102" t="s">
        <v>62</v>
      </c>
      <c r="X23" s="263">
        <v>10000</v>
      </c>
      <c r="Y23" s="263"/>
      <c r="Z23" s="263"/>
      <c r="AA23" s="263"/>
      <c r="AB23" s="104" t="s">
        <v>745</v>
      </c>
      <c r="AC23" s="285">
        <f>V23*X23</f>
        <v>0</v>
      </c>
      <c r="AD23" s="265"/>
      <c r="AE23" s="7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250">
        <f aca="true" t="shared" si="27" ref="AT23:AY23">IF(AT6=59,1,(IF(AT6=60,4,(IF(AT6=61,3,(IF(AT6=62,2,0)))))))</f>
        <v>0</v>
      </c>
      <c r="AU23" s="250">
        <f t="shared" si="27"/>
        <v>0</v>
      </c>
      <c r="AV23" s="250">
        <f t="shared" si="27"/>
        <v>0</v>
      </c>
      <c r="AW23" s="250">
        <f t="shared" si="27"/>
        <v>0</v>
      </c>
      <c r="AX23" s="250">
        <f t="shared" si="27"/>
        <v>0</v>
      </c>
      <c r="AY23" s="251">
        <f t="shared" si="27"/>
        <v>0</v>
      </c>
      <c r="AZ23" s="13"/>
      <c r="BA23" s="232" t="str">
        <f aca="true" t="shared" si="28" ref="BA23:BF23">(IF(BA6&lt;&gt;"",VLOOKUP(BA6,$AH$43:$AI$104,2,FALSE),"0"))</f>
        <v>0</v>
      </c>
      <c r="BB23" s="233" t="str">
        <f t="shared" si="28"/>
        <v>0</v>
      </c>
      <c r="BC23" s="233" t="str">
        <f t="shared" si="28"/>
        <v>0</v>
      </c>
      <c r="BD23" s="233" t="str">
        <f t="shared" si="28"/>
        <v>0</v>
      </c>
      <c r="BE23" s="233" t="str">
        <f t="shared" si="28"/>
        <v>0</v>
      </c>
      <c r="BF23" s="234" t="str">
        <f t="shared" si="28"/>
        <v>0</v>
      </c>
      <c r="BG23" s="13"/>
      <c r="BH23" s="1"/>
      <c r="BI23" s="1"/>
      <c r="BJ23" s="1"/>
      <c r="BK23" s="1"/>
      <c r="BL23" s="1"/>
      <c r="BM23" s="1"/>
      <c r="BN23" s="1"/>
      <c r="BO23" s="151">
        <v>21</v>
      </c>
      <c r="BP23" s="3" t="s">
        <v>105</v>
      </c>
      <c r="BQ23" s="4">
        <v>7</v>
      </c>
      <c r="BR23" s="4">
        <v>3</v>
      </c>
      <c r="BS23" s="4">
        <v>4</v>
      </c>
      <c r="BT23" s="4">
        <v>7</v>
      </c>
      <c r="BU23" s="20" t="s">
        <v>95</v>
      </c>
      <c r="BV23" s="5">
        <v>80000</v>
      </c>
      <c r="BW23" s="5" t="s">
        <v>29</v>
      </c>
      <c r="BX23" s="5" t="s">
        <v>92</v>
      </c>
      <c r="BY23" s="5">
        <v>2</v>
      </c>
      <c r="BZ23" s="291"/>
      <c r="CA23" s="6">
        <v>20</v>
      </c>
      <c r="CB23" s="31" t="s">
        <v>37</v>
      </c>
      <c r="CC23" s="5">
        <v>60000</v>
      </c>
      <c r="CD23" s="31" t="s">
        <v>37</v>
      </c>
      <c r="CE23" s="5">
        <v>1</v>
      </c>
      <c r="CF23" s="5"/>
      <c r="CG23" s="6"/>
      <c r="CH23" s="5"/>
      <c r="CI23" s="35"/>
      <c r="CJ23" s="5"/>
      <c r="CK23" s="6"/>
      <c r="CL23" s="8"/>
      <c r="CM23" s="8"/>
      <c r="CN23" s="9"/>
      <c r="CO23" s="9"/>
      <c r="CP23" s="8"/>
      <c r="CQ23" s="8"/>
      <c r="CR23" s="9"/>
      <c r="CS23" s="8"/>
      <c r="CT23" s="8"/>
      <c r="CU23" s="8"/>
      <c r="CV23" s="8"/>
      <c r="CW23" s="9"/>
      <c r="CX23" s="8"/>
      <c r="CY23" s="9"/>
      <c r="CZ23" s="9"/>
      <c r="DA23" s="9"/>
      <c r="DB23" s="9"/>
      <c r="DC23" s="9"/>
      <c r="DD23" s="9"/>
      <c r="DE23" s="9"/>
      <c r="DF23" s="9"/>
      <c r="DG23" s="8"/>
      <c r="DH23" s="8"/>
      <c r="DI23" s="9"/>
      <c r="DJ23" s="8"/>
      <c r="DK23" s="9"/>
      <c r="DL23" s="151">
        <v>21</v>
      </c>
      <c r="DM23" s="3" t="s">
        <v>613</v>
      </c>
      <c r="DN23" s="4">
        <v>7</v>
      </c>
      <c r="DO23" s="4">
        <v>3</v>
      </c>
      <c r="DP23" s="4">
        <v>4</v>
      </c>
      <c r="DQ23" s="4">
        <v>7</v>
      </c>
      <c r="DR23" s="20" t="s">
        <v>705</v>
      </c>
      <c r="DS23" s="5">
        <v>110000</v>
      </c>
      <c r="DT23" s="291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</row>
    <row r="24" spans="2:149" ht="17.25" customHeight="1">
      <c r="B24" s="72"/>
      <c r="C24" s="280"/>
      <c r="D24" s="281"/>
      <c r="E24" s="282" t="s">
        <v>281</v>
      </c>
      <c r="F24" s="283"/>
      <c r="G24" s="283"/>
      <c r="H24" s="283"/>
      <c r="I24" s="283"/>
      <c r="J24" s="94" t="s">
        <v>13</v>
      </c>
      <c r="K24" s="132" t="str">
        <f>VLOOKUP(BI24,CA4:CB28,2,FALSE)</f>
        <v>Amazon</v>
      </c>
      <c r="L24" s="115"/>
      <c r="M24" s="116"/>
      <c r="N24" s="116"/>
      <c r="O24" s="116"/>
      <c r="P24" s="116"/>
      <c r="Q24" s="116"/>
      <c r="R24" s="116"/>
      <c r="S24" s="116"/>
      <c r="T24" s="116"/>
      <c r="U24" s="108" t="s">
        <v>219</v>
      </c>
      <c r="V24" s="29">
        <v>0</v>
      </c>
      <c r="W24" s="102" t="s">
        <v>62</v>
      </c>
      <c r="X24" s="263">
        <v>10000</v>
      </c>
      <c r="Y24" s="263"/>
      <c r="Z24" s="263"/>
      <c r="AA24" s="263"/>
      <c r="AB24" s="104" t="s">
        <v>745</v>
      </c>
      <c r="AC24" s="285">
        <f>V24*X24</f>
        <v>0</v>
      </c>
      <c r="AD24" s="265"/>
      <c r="AE24" s="79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50">
        <f aca="true" t="shared" si="29" ref="AT24:AY24">IF(AT7=59,1,(IF(AT7=60,4,(IF(AT7=61,3,(IF(AT7=62,2,0)))))))</f>
        <v>0</v>
      </c>
      <c r="AU24" s="250">
        <f t="shared" si="29"/>
        <v>0</v>
      </c>
      <c r="AV24" s="250">
        <f t="shared" si="29"/>
        <v>0</v>
      </c>
      <c r="AW24" s="250">
        <f t="shared" si="29"/>
        <v>0</v>
      </c>
      <c r="AX24" s="250">
        <f t="shared" si="29"/>
        <v>0</v>
      </c>
      <c r="AY24" s="251">
        <f t="shared" si="29"/>
        <v>0</v>
      </c>
      <c r="AZ24" s="13"/>
      <c r="BA24" s="232" t="str">
        <f aca="true" t="shared" si="30" ref="BA24:BF24">(IF(BA7&lt;&gt;"",VLOOKUP(BA7,$AH$43:$AI$104,2,FALSE),"0"))</f>
        <v>0</v>
      </c>
      <c r="BB24" s="233" t="str">
        <f t="shared" si="30"/>
        <v>0</v>
      </c>
      <c r="BC24" s="233" t="str">
        <f t="shared" si="30"/>
        <v>0</v>
      </c>
      <c r="BD24" s="233" t="str">
        <f t="shared" si="30"/>
        <v>0</v>
      </c>
      <c r="BE24" s="233" t="str">
        <f t="shared" si="30"/>
        <v>0</v>
      </c>
      <c r="BF24" s="234" t="str">
        <f t="shared" si="30"/>
        <v>0</v>
      </c>
      <c r="BG24" s="13"/>
      <c r="BH24" s="1"/>
      <c r="BI24" s="16">
        <v>1</v>
      </c>
      <c r="BJ24" s="1"/>
      <c r="BK24" s="1"/>
      <c r="BL24" s="1"/>
      <c r="BM24" s="1"/>
      <c r="BN24" s="1"/>
      <c r="BO24" s="151">
        <v>22</v>
      </c>
      <c r="BP24" s="3" t="s">
        <v>96</v>
      </c>
      <c r="BQ24" s="4">
        <v>6</v>
      </c>
      <c r="BR24" s="4">
        <v>3</v>
      </c>
      <c r="BS24" s="4">
        <v>4</v>
      </c>
      <c r="BT24" s="4">
        <v>7</v>
      </c>
      <c r="BU24" s="20" t="s">
        <v>97</v>
      </c>
      <c r="BV24" s="5">
        <v>90000</v>
      </c>
      <c r="BW24" s="5" t="s">
        <v>69</v>
      </c>
      <c r="BX24" s="5" t="s">
        <v>72</v>
      </c>
      <c r="BY24" s="5">
        <v>2</v>
      </c>
      <c r="BZ24" s="291"/>
      <c r="CA24" s="6">
        <v>21</v>
      </c>
      <c r="CB24" s="32" t="s">
        <v>374</v>
      </c>
      <c r="CC24" s="5">
        <v>50000</v>
      </c>
      <c r="CD24" s="32" t="s">
        <v>374</v>
      </c>
      <c r="CE24" s="5">
        <v>1</v>
      </c>
      <c r="CF24" s="5"/>
      <c r="CG24" s="6"/>
      <c r="CH24" s="5"/>
      <c r="CI24" s="35"/>
      <c r="CJ24" s="5"/>
      <c r="CK24" s="6"/>
      <c r="CL24" s="8"/>
      <c r="CM24" s="8"/>
      <c r="CN24" s="9"/>
      <c r="CO24" s="9"/>
      <c r="CP24" s="8"/>
      <c r="CQ24" s="8"/>
      <c r="CR24" s="9"/>
      <c r="CS24" s="8"/>
      <c r="CT24" s="8"/>
      <c r="CU24" s="8"/>
      <c r="CV24" s="8"/>
      <c r="CW24" s="9"/>
      <c r="CX24" s="8"/>
      <c r="CY24" s="9"/>
      <c r="CZ24" s="9"/>
      <c r="DA24" s="9"/>
      <c r="DB24" s="9"/>
      <c r="DC24" s="9"/>
      <c r="DD24" s="9"/>
      <c r="DE24" s="9"/>
      <c r="DF24" s="9"/>
      <c r="DG24" s="8"/>
      <c r="DH24" s="8"/>
      <c r="DI24" s="9"/>
      <c r="DJ24" s="8"/>
      <c r="DK24" s="9"/>
      <c r="DL24" s="151">
        <v>22</v>
      </c>
      <c r="DM24" s="3" t="s">
        <v>614</v>
      </c>
      <c r="DN24" s="4">
        <v>6</v>
      </c>
      <c r="DO24" s="4">
        <v>3</v>
      </c>
      <c r="DP24" s="4">
        <v>4</v>
      </c>
      <c r="DQ24" s="4">
        <v>7</v>
      </c>
      <c r="DR24" s="20" t="s">
        <v>706</v>
      </c>
      <c r="DS24" s="5">
        <v>120000</v>
      </c>
      <c r="DT24" s="291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</row>
    <row r="25" spans="2:149" ht="17.25" customHeight="1">
      <c r="B25" s="72"/>
      <c r="C25" s="280"/>
      <c r="D25" s="281"/>
      <c r="E25" s="282" t="s">
        <v>280</v>
      </c>
      <c r="F25" s="283"/>
      <c r="G25" s="283"/>
      <c r="H25" s="283"/>
      <c r="I25" s="283"/>
      <c r="J25" s="95" t="s">
        <v>56</v>
      </c>
      <c r="K25" s="133"/>
      <c r="L25" s="115"/>
      <c r="M25" s="116"/>
      <c r="N25" s="116"/>
      <c r="O25" s="116"/>
      <c r="P25" s="116"/>
      <c r="Q25" s="116"/>
      <c r="R25" s="116"/>
      <c r="S25" s="116"/>
      <c r="T25" s="116"/>
      <c r="U25" s="108" t="s">
        <v>63</v>
      </c>
      <c r="V25" s="29">
        <v>0</v>
      </c>
      <c r="W25" s="102" t="s">
        <v>62</v>
      </c>
      <c r="X25" s="263">
        <v>10000</v>
      </c>
      <c r="Y25" s="263"/>
      <c r="Z25" s="263"/>
      <c r="AA25" s="263"/>
      <c r="AB25" s="104" t="s">
        <v>745</v>
      </c>
      <c r="AC25" s="285">
        <f>V25*X25</f>
        <v>0</v>
      </c>
      <c r="AD25" s="265"/>
      <c r="AE25" s="79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250">
        <f aca="true" t="shared" si="31" ref="AT25:AY25">IF(AT8=59,1,(IF(AT8=60,4,(IF(AT8=61,3,(IF(AT8=62,2,0)))))))</f>
        <v>0</v>
      </c>
      <c r="AU25" s="250">
        <f t="shared" si="31"/>
        <v>0</v>
      </c>
      <c r="AV25" s="250">
        <f t="shared" si="31"/>
        <v>0</v>
      </c>
      <c r="AW25" s="250">
        <f t="shared" si="31"/>
        <v>0</v>
      </c>
      <c r="AX25" s="250">
        <f t="shared" si="31"/>
        <v>0</v>
      </c>
      <c r="AY25" s="251">
        <f t="shared" si="31"/>
        <v>0</v>
      </c>
      <c r="AZ25" s="13"/>
      <c r="BA25" s="232" t="str">
        <f aca="true" t="shared" si="32" ref="BA25:BF25">(IF(BA8&lt;&gt;"",VLOOKUP(BA8,$AH$43:$AI$104,2,FALSE),"0"))</f>
        <v>0</v>
      </c>
      <c r="BB25" s="233" t="str">
        <f t="shared" si="32"/>
        <v>0</v>
      </c>
      <c r="BC25" s="233" t="str">
        <f t="shared" si="32"/>
        <v>0</v>
      </c>
      <c r="BD25" s="233" t="str">
        <f t="shared" si="32"/>
        <v>0</v>
      </c>
      <c r="BE25" s="233" t="str">
        <f t="shared" si="32"/>
        <v>0</v>
      </c>
      <c r="BF25" s="234" t="str">
        <f t="shared" si="32"/>
        <v>0</v>
      </c>
      <c r="BG25" s="13"/>
      <c r="BH25" s="1"/>
      <c r="BI25" s="1"/>
      <c r="BJ25" s="1"/>
      <c r="BK25" s="1"/>
      <c r="BL25" s="1"/>
      <c r="BM25" s="1"/>
      <c r="BN25" s="1"/>
      <c r="BO25" s="151">
        <v>23</v>
      </c>
      <c r="BP25" s="3" t="s">
        <v>106</v>
      </c>
      <c r="BQ25" s="4">
        <v>7</v>
      </c>
      <c r="BR25" s="4">
        <v>3</v>
      </c>
      <c r="BS25" s="4">
        <v>4</v>
      </c>
      <c r="BT25" s="4">
        <v>8</v>
      </c>
      <c r="BU25" s="20" t="s">
        <v>94</v>
      </c>
      <c r="BV25" s="5">
        <v>100000</v>
      </c>
      <c r="BW25" s="5" t="s">
        <v>69</v>
      </c>
      <c r="BX25" s="5" t="s">
        <v>72</v>
      </c>
      <c r="BY25" s="5">
        <v>4</v>
      </c>
      <c r="BZ25" s="291"/>
      <c r="CA25" s="6">
        <v>22</v>
      </c>
      <c r="CB25" s="32" t="s">
        <v>197</v>
      </c>
      <c r="CC25" s="5">
        <v>70000</v>
      </c>
      <c r="CD25" s="32" t="s">
        <v>197</v>
      </c>
      <c r="CE25" s="5">
        <v>0</v>
      </c>
      <c r="CF25" s="5"/>
      <c r="CG25" s="6"/>
      <c r="CH25" s="5"/>
      <c r="CI25" s="35"/>
      <c r="CJ25" s="5"/>
      <c r="CK25" s="6"/>
      <c r="CL25" s="8"/>
      <c r="CM25" s="8"/>
      <c r="CN25" s="9"/>
      <c r="CO25" s="9"/>
      <c r="CP25" s="8"/>
      <c r="CQ25" s="8"/>
      <c r="CR25" s="9"/>
      <c r="CS25" s="8"/>
      <c r="CT25" s="8"/>
      <c r="CU25" s="8"/>
      <c r="CV25" s="8"/>
      <c r="CW25" s="9"/>
      <c r="CX25" s="8"/>
      <c r="CY25" s="9"/>
      <c r="CZ25" s="9"/>
      <c r="DA25" s="9"/>
      <c r="DB25" s="9"/>
      <c r="DC25" s="9"/>
      <c r="DD25" s="9"/>
      <c r="DE25" s="9"/>
      <c r="DF25" s="9"/>
      <c r="DG25" s="8"/>
      <c r="DH25" s="8"/>
      <c r="DI25" s="9"/>
      <c r="DJ25" s="8"/>
      <c r="DK25" s="9"/>
      <c r="DL25" s="151">
        <v>23</v>
      </c>
      <c r="DM25" s="3" t="s">
        <v>615</v>
      </c>
      <c r="DN25" s="4">
        <v>7</v>
      </c>
      <c r="DO25" s="4">
        <v>3</v>
      </c>
      <c r="DP25" s="4">
        <v>4</v>
      </c>
      <c r="DQ25" s="4">
        <v>8</v>
      </c>
      <c r="DR25" s="20" t="s">
        <v>508</v>
      </c>
      <c r="DS25" s="5">
        <v>130000</v>
      </c>
      <c r="DT25" s="291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</row>
    <row r="26" spans="2:149" ht="17.25" customHeight="1" thickBot="1">
      <c r="B26" s="72"/>
      <c r="C26" s="280"/>
      <c r="D26" s="281"/>
      <c r="E26" s="282" t="s">
        <v>279</v>
      </c>
      <c r="F26" s="283"/>
      <c r="G26" s="283"/>
      <c r="H26" s="283"/>
      <c r="I26" s="283"/>
      <c r="J26" s="95" t="s">
        <v>11</v>
      </c>
      <c r="K26" s="134"/>
      <c r="L26" s="115"/>
      <c r="M26" s="116"/>
      <c r="N26" s="116"/>
      <c r="O26" s="116"/>
      <c r="P26" s="116"/>
      <c r="Q26" s="116"/>
      <c r="R26" s="116"/>
      <c r="S26" s="116"/>
      <c r="T26" s="117"/>
      <c r="U26" s="108" t="str">
        <f>IF(IF(K24&lt;&gt;"",VLOOKUP(K24,CD4:CE28,2,FALSE),0)=1,"APOTECARIO","")</f>
        <v>APOTECARIO</v>
      </c>
      <c r="V26" s="30">
        <v>0</v>
      </c>
      <c r="W26" s="102" t="str">
        <f>IF(IF(K24&lt;&gt;"",VLOOKUP(K24,CD4:CE28,2,FALSE),0)=1,"x","")</f>
        <v>x</v>
      </c>
      <c r="X26" s="263" t="str">
        <f>IF(IF(K24&lt;&gt;"",VLOOKUP(K24,CD4:CE28,2,FALSE),0)=1,"50000","")</f>
        <v>50000</v>
      </c>
      <c r="Y26" s="263"/>
      <c r="Z26" s="263"/>
      <c r="AA26" s="263"/>
      <c r="AB26" s="104" t="str">
        <f>IF(K24="Undead","",(IF(K24="Necromantic","",(IF(K24="Khemri","",(IF(K24="Nurgle","","gp")))))))</f>
        <v>gp</v>
      </c>
      <c r="AC26" s="285">
        <f>IF(K24="Undead",0,(IF(K24="Necromantic",0,(IF(K24="Khemri",0,(IF(K24="Nurgle",0,(IF(V26&lt;&gt;1,0,50000)))))))))</f>
        <v>0</v>
      </c>
      <c r="AD26" s="265"/>
      <c r="AE26" s="79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250">
        <f aca="true" t="shared" si="33" ref="AT26:AY26">IF(AT9=59,1,(IF(AT9=60,4,(IF(AT9=61,3,(IF(AT9=62,2,0)))))))</f>
        <v>0</v>
      </c>
      <c r="AU26" s="250">
        <f t="shared" si="33"/>
        <v>0</v>
      </c>
      <c r="AV26" s="250">
        <f t="shared" si="33"/>
        <v>0</v>
      </c>
      <c r="AW26" s="250">
        <f t="shared" si="33"/>
        <v>0</v>
      </c>
      <c r="AX26" s="250">
        <f t="shared" si="33"/>
        <v>0</v>
      </c>
      <c r="AY26" s="251">
        <f t="shared" si="33"/>
        <v>0</v>
      </c>
      <c r="AZ26" s="13"/>
      <c r="BA26" s="232" t="str">
        <f aca="true" t="shared" si="34" ref="BA26:BF26">(IF(BA9&lt;&gt;"",VLOOKUP(BA9,$AH$43:$AI$104,2,FALSE),"0"))</f>
        <v>0</v>
      </c>
      <c r="BB26" s="233" t="str">
        <f t="shared" si="34"/>
        <v>0</v>
      </c>
      <c r="BC26" s="233" t="str">
        <f t="shared" si="34"/>
        <v>0</v>
      </c>
      <c r="BD26" s="233" t="str">
        <f t="shared" si="34"/>
        <v>0</v>
      </c>
      <c r="BE26" s="233" t="str">
        <f t="shared" si="34"/>
        <v>0</v>
      </c>
      <c r="BF26" s="234" t="str">
        <f t="shared" si="34"/>
        <v>0</v>
      </c>
      <c r="BG26" s="13"/>
      <c r="BH26" s="1"/>
      <c r="BI26" s="40"/>
      <c r="BJ26" s="1"/>
      <c r="BK26" s="1"/>
      <c r="BL26" s="1"/>
      <c r="BM26" s="1"/>
      <c r="BN26" s="1"/>
      <c r="BO26" s="151">
        <v>24</v>
      </c>
      <c r="BP26" s="59" t="s">
        <v>98</v>
      </c>
      <c r="BQ26" s="60">
        <v>7</v>
      </c>
      <c r="BR26" s="60">
        <v>3</v>
      </c>
      <c r="BS26" s="60">
        <v>4</v>
      </c>
      <c r="BT26" s="60">
        <v>7</v>
      </c>
      <c r="BU26" s="61" t="s">
        <v>99</v>
      </c>
      <c r="BV26" s="62">
        <v>110000</v>
      </c>
      <c r="BW26" s="62" t="s">
        <v>69</v>
      </c>
      <c r="BX26" s="62" t="s">
        <v>72</v>
      </c>
      <c r="BY26" s="62">
        <v>2</v>
      </c>
      <c r="BZ26" s="292"/>
      <c r="CA26" s="6">
        <v>23</v>
      </c>
      <c r="CB26" s="32" t="s">
        <v>390</v>
      </c>
      <c r="CC26" s="5">
        <v>70000</v>
      </c>
      <c r="CD26" s="32" t="s">
        <v>390</v>
      </c>
      <c r="CE26" s="5">
        <v>1</v>
      </c>
      <c r="CF26" s="5"/>
      <c r="CG26" s="6"/>
      <c r="CH26" s="5"/>
      <c r="CI26" s="35"/>
      <c r="CJ26" s="5"/>
      <c r="CK26" s="6"/>
      <c r="CL26" s="8"/>
      <c r="CM26" s="8"/>
      <c r="CN26" s="9"/>
      <c r="CO26" s="9"/>
      <c r="CP26" s="8"/>
      <c r="CQ26" s="8"/>
      <c r="CR26" s="9"/>
      <c r="CS26" s="8"/>
      <c r="CT26" s="8"/>
      <c r="CU26" s="8"/>
      <c r="CV26" s="8"/>
      <c r="CW26" s="9"/>
      <c r="CX26" s="8"/>
      <c r="CY26" s="9"/>
      <c r="CZ26" s="9"/>
      <c r="DA26" s="9"/>
      <c r="DB26" s="9"/>
      <c r="DC26" s="9"/>
      <c r="DD26" s="9"/>
      <c r="DE26" s="9"/>
      <c r="DF26" s="9"/>
      <c r="DG26" s="8"/>
      <c r="DH26" s="8"/>
      <c r="DI26" s="9"/>
      <c r="DJ26" s="8"/>
      <c r="DK26" s="9"/>
      <c r="DL26" s="151">
        <v>24</v>
      </c>
      <c r="DM26" s="59" t="s">
        <v>616</v>
      </c>
      <c r="DN26" s="60">
        <v>7</v>
      </c>
      <c r="DO26" s="60">
        <v>3</v>
      </c>
      <c r="DP26" s="60">
        <v>4</v>
      </c>
      <c r="DQ26" s="60">
        <v>7</v>
      </c>
      <c r="DR26" s="61" t="s">
        <v>99</v>
      </c>
      <c r="DS26" s="62">
        <v>140000</v>
      </c>
      <c r="DT26" s="292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</row>
    <row r="27" spans="2:149" ht="17.25" customHeight="1" thickBot="1">
      <c r="B27" s="72"/>
      <c r="C27" s="280"/>
      <c r="D27" s="281"/>
      <c r="E27" s="282" t="s">
        <v>207</v>
      </c>
      <c r="F27" s="283"/>
      <c r="G27" s="283"/>
      <c r="H27" s="283"/>
      <c r="I27" s="283"/>
      <c r="J27" s="100" t="s">
        <v>335</v>
      </c>
      <c r="K27" s="140">
        <v>0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0" t="s">
        <v>217</v>
      </c>
      <c r="AC27" s="261">
        <f>SUM(AC22:AC26)</f>
        <v>0</v>
      </c>
      <c r="AD27" s="262"/>
      <c r="AE27" s="7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250">
        <f aca="true" t="shared" si="35" ref="AT27:AY27">IF(AT10=59,1,(IF(AT10=60,4,(IF(AT10=61,3,(IF(AT10=62,2,0)))))))</f>
        <v>0</v>
      </c>
      <c r="AU27" s="250">
        <f t="shared" si="35"/>
        <v>0</v>
      </c>
      <c r="AV27" s="250">
        <f t="shared" si="35"/>
        <v>0</v>
      </c>
      <c r="AW27" s="250">
        <f t="shared" si="35"/>
        <v>0</v>
      </c>
      <c r="AX27" s="250">
        <f t="shared" si="35"/>
        <v>0</v>
      </c>
      <c r="AY27" s="251">
        <f t="shared" si="35"/>
        <v>0</v>
      </c>
      <c r="AZ27" s="13"/>
      <c r="BA27" s="232" t="str">
        <f aca="true" t="shared" si="36" ref="BA27:BF27">(IF(BA10&lt;&gt;"",VLOOKUP(BA10,$AH$43:$AI$104,2,FALSE),"0"))</f>
        <v>0</v>
      </c>
      <c r="BB27" s="233" t="str">
        <f t="shared" si="36"/>
        <v>0</v>
      </c>
      <c r="BC27" s="233" t="str">
        <f t="shared" si="36"/>
        <v>0</v>
      </c>
      <c r="BD27" s="233" t="str">
        <f t="shared" si="36"/>
        <v>0</v>
      </c>
      <c r="BE27" s="233" t="str">
        <f t="shared" si="36"/>
        <v>0</v>
      </c>
      <c r="BF27" s="234" t="str">
        <f t="shared" si="36"/>
        <v>0</v>
      </c>
      <c r="BG27" s="13"/>
      <c r="BH27" s="1"/>
      <c r="BI27" s="1"/>
      <c r="BJ27" s="1"/>
      <c r="BK27" s="1"/>
      <c r="BL27" s="1"/>
      <c r="BM27" s="1"/>
      <c r="BN27" s="1"/>
      <c r="BO27" s="151">
        <v>25</v>
      </c>
      <c r="BP27" s="3" t="s">
        <v>746</v>
      </c>
      <c r="BQ27" s="4">
        <v>6</v>
      </c>
      <c r="BR27" s="4">
        <v>3</v>
      </c>
      <c r="BS27" s="4">
        <v>3</v>
      </c>
      <c r="BT27" s="4">
        <v>8</v>
      </c>
      <c r="BU27" s="20" t="s">
        <v>170</v>
      </c>
      <c r="BV27" s="5">
        <v>60000</v>
      </c>
      <c r="BW27" s="5" t="s">
        <v>67</v>
      </c>
      <c r="BX27" s="5" t="s">
        <v>71</v>
      </c>
      <c r="BY27" s="5">
        <v>16</v>
      </c>
      <c r="BZ27" s="273" t="s">
        <v>747</v>
      </c>
      <c r="CA27" s="6">
        <v>24</v>
      </c>
      <c r="CB27" s="32" t="s">
        <v>30</v>
      </c>
      <c r="CC27" s="5">
        <v>70000</v>
      </c>
      <c r="CD27" s="32" t="s">
        <v>30</v>
      </c>
      <c r="CE27" s="5">
        <v>1</v>
      </c>
      <c r="CF27" s="5"/>
      <c r="CG27" s="6"/>
      <c r="CH27" s="5"/>
      <c r="CI27" s="35"/>
      <c r="CJ27" s="5"/>
      <c r="CK27" s="6"/>
      <c r="CL27" s="8"/>
      <c r="CM27" s="8"/>
      <c r="CN27" s="9"/>
      <c r="CO27" s="9"/>
      <c r="CP27" s="8"/>
      <c r="CQ27" s="8"/>
      <c r="CR27" s="9"/>
      <c r="CS27" s="8"/>
      <c r="CT27" s="8"/>
      <c r="CU27" s="8"/>
      <c r="CV27" s="8"/>
      <c r="CW27" s="9"/>
      <c r="CX27" s="8"/>
      <c r="CY27" s="9"/>
      <c r="CZ27" s="9"/>
      <c r="DA27" s="9"/>
      <c r="DB27" s="9"/>
      <c r="DC27" s="9"/>
      <c r="DD27" s="9"/>
      <c r="DE27" s="9"/>
      <c r="DF27" s="9"/>
      <c r="DG27" s="8"/>
      <c r="DH27" s="8"/>
      <c r="DI27" s="9"/>
      <c r="DJ27" s="8"/>
      <c r="DK27" s="9"/>
      <c r="DL27" s="151">
        <v>25</v>
      </c>
      <c r="DM27" s="63" t="s">
        <v>617</v>
      </c>
      <c r="DN27" s="56">
        <v>4</v>
      </c>
      <c r="DO27" s="56">
        <v>3</v>
      </c>
      <c r="DP27" s="56">
        <v>2</v>
      </c>
      <c r="DQ27" s="56">
        <v>9</v>
      </c>
      <c r="DR27" s="57" t="s">
        <v>495</v>
      </c>
      <c r="DS27" s="66">
        <v>100000</v>
      </c>
      <c r="DT27" s="270" t="s">
        <v>107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</row>
    <row r="28" spans="2:149" ht="17.25" customHeight="1" thickBot="1">
      <c r="B28" s="72"/>
      <c r="C28" s="286" t="s">
        <v>523</v>
      </c>
      <c r="D28" s="287"/>
      <c r="E28" s="288" t="s">
        <v>278</v>
      </c>
      <c r="F28" s="289"/>
      <c r="G28" s="289"/>
      <c r="H28" s="289"/>
      <c r="I28" s="289"/>
      <c r="J28" s="136" t="s">
        <v>337</v>
      </c>
      <c r="K28" s="135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0" t="s">
        <v>336</v>
      </c>
      <c r="AC28" s="293">
        <f>AC21+AC27</f>
        <v>0</v>
      </c>
      <c r="AD28" s="294"/>
      <c r="AE28" s="79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250">
        <f aca="true" t="shared" si="37" ref="AT28:AY28">IF(AT11=59,1,(IF(AT11=60,4,(IF(AT11=61,3,(IF(AT11=62,2,0)))))))</f>
        <v>0</v>
      </c>
      <c r="AU28" s="250">
        <f t="shared" si="37"/>
        <v>0</v>
      </c>
      <c r="AV28" s="250">
        <f t="shared" si="37"/>
        <v>0</v>
      </c>
      <c r="AW28" s="250">
        <f t="shared" si="37"/>
        <v>0</v>
      </c>
      <c r="AX28" s="250">
        <f t="shared" si="37"/>
        <v>0</v>
      </c>
      <c r="AY28" s="251">
        <f t="shared" si="37"/>
        <v>0</v>
      </c>
      <c r="AZ28" s="13"/>
      <c r="BA28" s="232" t="str">
        <f aca="true" t="shared" si="38" ref="BA28:BF28">(IF(BA11&lt;&gt;"",VLOOKUP(BA11,$AH$43:$AI$104,2,FALSE),"0"))</f>
        <v>0</v>
      </c>
      <c r="BB28" s="233" t="str">
        <f t="shared" si="38"/>
        <v>0</v>
      </c>
      <c r="BC28" s="233" t="str">
        <f t="shared" si="38"/>
        <v>0</v>
      </c>
      <c r="BD28" s="233" t="str">
        <f t="shared" si="38"/>
        <v>0</v>
      </c>
      <c r="BE28" s="233" t="str">
        <f t="shared" si="38"/>
        <v>0</v>
      </c>
      <c r="BF28" s="234" t="str">
        <f t="shared" si="38"/>
        <v>0</v>
      </c>
      <c r="BG28" s="13"/>
      <c r="BH28" s="1"/>
      <c r="BI28" s="1"/>
      <c r="BJ28" s="1"/>
      <c r="BK28" s="1"/>
      <c r="BL28" s="1"/>
      <c r="BM28" s="1"/>
      <c r="BN28" s="1"/>
      <c r="BO28" s="151">
        <v>26</v>
      </c>
      <c r="BP28" s="3" t="s">
        <v>748</v>
      </c>
      <c r="BQ28" s="4">
        <v>6</v>
      </c>
      <c r="BR28" s="4">
        <v>3</v>
      </c>
      <c r="BS28" s="4">
        <v>3</v>
      </c>
      <c r="BT28" s="4">
        <v>7</v>
      </c>
      <c r="BU28" s="20" t="s">
        <v>749</v>
      </c>
      <c r="BV28" s="5">
        <v>80000</v>
      </c>
      <c r="BW28" s="5" t="s">
        <v>199</v>
      </c>
      <c r="BX28" s="5" t="s">
        <v>15</v>
      </c>
      <c r="BY28" s="5">
        <v>4</v>
      </c>
      <c r="BZ28" s="274"/>
      <c r="CA28" s="6">
        <v>25</v>
      </c>
      <c r="CB28" s="31" t="s">
        <v>200</v>
      </c>
      <c r="CC28" s="5">
        <v>50000</v>
      </c>
      <c r="CD28" s="31" t="s">
        <v>200</v>
      </c>
      <c r="CE28" s="5">
        <v>1</v>
      </c>
      <c r="CF28" s="5"/>
      <c r="CG28" s="6"/>
      <c r="CH28" s="5"/>
      <c r="CI28" s="35"/>
      <c r="CJ28" s="5"/>
      <c r="CK28" s="6"/>
      <c r="CL28" s="8"/>
      <c r="CM28" s="8"/>
      <c r="CN28" s="9"/>
      <c r="CO28" s="9"/>
      <c r="CP28" s="8"/>
      <c r="CQ28" s="8"/>
      <c r="CR28" s="9"/>
      <c r="CS28" s="8"/>
      <c r="CT28" s="8"/>
      <c r="CU28" s="8"/>
      <c r="CV28" s="8"/>
      <c r="CW28" s="9"/>
      <c r="CX28" s="8"/>
      <c r="CY28" s="9"/>
      <c r="CZ28" s="9"/>
      <c r="DA28" s="9"/>
      <c r="DB28" s="9"/>
      <c r="DC28" s="9"/>
      <c r="DD28" s="9"/>
      <c r="DE28" s="9"/>
      <c r="DF28" s="9"/>
      <c r="DG28" s="8"/>
      <c r="DH28" s="8"/>
      <c r="DI28" s="9"/>
      <c r="DJ28" s="8"/>
      <c r="DK28" s="9"/>
      <c r="DL28" s="151">
        <v>26</v>
      </c>
      <c r="DM28" s="64" t="s">
        <v>618</v>
      </c>
      <c r="DN28" s="4">
        <v>6</v>
      </c>
      <c r="DO28" s="4">
        <v>3</v>
      </c>
      <c r="DP28" s="4">
        <v>3</v>
      </c>
      <c r="DQ28" s="4">
        <v>8</v>
      </c>
      <c r="DR28" s="20" t="s">
        <v>707</v>
      </c>
      <c r="DS28" s="67">
        <v>110000</v>
      </c>
      <c r="DT28" s="271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</row>
    <row r="29" spans="2:149" ht="8.25" customHeight="1" thickBot="1">
      <c r="B29" s="73"/>
      <c r="C29" s="74"/>
      <c r="D29" s="74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107"/>
      <c r="P29" s="76"/>
      <c r="Q29" s="76"/>
      <c r="R29" s="76"/>
      <c r="S29" s="76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7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250">
        <f aca="true" t="shared" si="39" ref="AT29:AY29">IF(AT12=59,1,(IF(AT12=60,4,(IF(AT12=61,3,(IF(AT12=62,2,0)))))))</f>
        <v>0</v>
      </c>
      <c r="AU29" s="250">
        <f t="shared" si="39"/>
        <v>0</v>
      </c>
      <c r="AV29" s="250">
        <f t="shared" si="39"/>
        <v>0</v>
      </c>
      <c r="AW29" s="250">
        <f t="shared" si="39"/>
        <v>0</v>
      </c>
      <c r="AX29" s="250">
        <f t="shared" si="39"/>
        <v>0</v>
      </c>
      <c r="AY29" s="251">
        <f t="shared" si="39"/>
        <v>0</v>
      </c>
      <c r="AZ29" s="13"/>
      <c r="BA29" s="232" t="str">
        <f aca="true" t="shared" si="40" ref="BA29:BF29">(IF(BA12&lt;&gt;"",VLOOKUP(BA12,$AH$43:$AI$104,2,FALSE),"0"))</f>
        <v>0</v>
      </c>
      <c r="BB29" s="233" t="str">
        <f t="shared" si="40"/>
        <v>0</v>
      </c>
      <c r="BC29" s="233" t="str">
        <f t="shared" si="40"/>
        <v>0</v>
      </c>
      <c r="BD29" s="233" t="str">
        <f t="shared" si="40"/>
        <v>0</v>
      </c>
      <c r="BE29" s="233" t="str">
        <f t="shared" si="40"/>
        <v>0</v>
      </c>
      <c r="BF29" s="234" t="str">
        <f t="shared" si="40"/>
        <v>0</v>
      </c>
      <c r="BG29" s="13"/>
      <c r="BH29" s="1"/>
      <c r="BI29" s="1"/>
      <c r="BJ29" s="1"/>
      <c r="BK29" s="1"/>
      <c r="BL29" s="1"/>
      <c r="BM29" s="1"/>
      <c r="BN29" s="1"/>
      <c r="BO29" s="151">
        <v>27</v>
      </c>
      <c r="BP29" s="3" t="s">
        <v>750</v>
      </c>
      <c r="BQ29" s="4">
        <v>6</v>
      </c>
      <c r="BR29" s="4">
        <v>3</v>
      </c>
      <c r="BS29" s="4">
        <v>3</v>
      </c>
      <c r="BT29" s="4">
        <v>8</v>
      </c>
      <c r="BU29" s="20" t="s">
        <v>751</v>
      </c>
      <c r="BV29" s="5">
        <v>90000</v>
      </c>
      <c r="BW29" s="5" t="s">
        <v>73</v>
      </c>
      <c r="BX29" s="5" t="s">
        <v>68</v>
      </c>
      <c r="BY29" s="5">
        <v>2</v>
      </c>
      <c r="BZ29" s="274"/>
      <c r="CA29" s="6"/>
      <c r="CB29" s="7"/>
      <c r="CC29" s="5"/>
      <c r="CD29" s="5"/>
      <c r="CE29" s="5"/>
      <c r="CF29" s="5"/>
      <c r="CG29" s="6"/>
      <c r="CH29" s="5"/>
      <c r="CI29" s="35"/>
      <c r="CJ29" s="5"/>
      <c r="CK29" s="6"/>
      <c r="CL29" s="8"/>
      <c r="CM29" s="8"/>
      <c r="CN29" s="9"/>
      <c r="CO29" s="9"/>
      <c r="CP29" s="8"/>
      <c r="CQ29" s="8"/>
      <c r="CR29" s="9"/>
      <c r="CS29" s="8"/>
      <c r="CT29" s="8"/>
      <c r="CU29" s="8"/>
      <c r="CV29" s="8"/>
      <c r="CW29" s="9"/>
      <c r="CX29" s="8"/>
      <c r="CY29" s="9"/>
      <c r="CZ29" s="9"/>
      <c r="DA29" s="9"/>
      <c r="DB29" s="9"/>
      <c r="DC29" s="9"/>
      <c r="DD29" s="9"/>
      <c r="DE29" s="9"/>
      <c r="DF29" s="9"/>
      <c r="DG29" s="8"/>
      <c r="DH29" s="8"/>
      <c r="DI29" s="9"/>
      <c r="DJ29" s="8"/>
      <c r="DK29" s="9"/>
      <c r="DL29" s="151">
        <v>27</v>
      </c>
      <c r="DM29" s="64" t="s">
        <v>619</v>
      </c>
      <c r="DN29" s="38">
        <v>5</v>
      </c>
      <c r="DO29" s="38">
        <v>3</v>
      </c>
      <c r="DP29" s="38">
        <v>3</v>
      </c>
      <c r="DQ29" s="38">
        <v>9</v>
      </c>
      <c r="DR29" s="20" t="s">
        <v>708</v>
      </c>
      <c r="DS29" s="67">
        <v>110000</v>
      </c>
      <c r="DT29" s="271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</row>
    <row r="30" spans="31:149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50">
        <f aca="true" t="shared" si="41" ref="AT30:AY30">IF(AT13=59,1,(IF(AT13=60,4,(IF(AT13=61,3,(IF(AT13=62,2,0)))))))</f>
        <v>0</v>
      </c>
      <c r="AU30" s="250">
        <f t="shared" si="41"/>
        <v>0</v>
      </c>
      <c r="AV30" s="250">
        <f t="shared" si="41"/>
        <v>0</v>
      </c>
      <c r="AW30" s="250">
        <f t="shared" si="41"/>
        <v>0</v>
      </c>
      <c r="AX30" s="250">
        <f t="shared" si="41"/>
        <v>0</v>
      </c>
      <c r="AY30" s="251">
        <f t="shared" si="41"/>
        <v>0</v>
      </c>
      <c r="AZ30" s="1"/>
      <c r="BA30" s="232" t="str">
        <f aca="true" t="shared" si="42" ref="BA30:BF30">(IF(BA13&lt;&gt;"",VLOOKUP(BA13,$AH$43:$AI$104,2,FALSE),"0"))</f>
        <v>0</v>
      </c>
      <c r="BB30" s="233" t="str">
        <f t="shared" si="42"/>
        <v>0</v>
      </c>
      <c r="BC30" s="233" t="str">
        <f t="shared" si="42"/>
        <v>0</v>
      </c>
      <c r="BD30" s="233" t="str">
        <f t="shared" si="42"/>
        <v>0</v>
      </c>
      <c r="BE30" s="233" t="str">
        <f t="shared" si="42"/>
        <v>0</v>
      </c>
      <c r="BF30" s="234" t="str">
        <f t="shared" si="42"/>
        <v>0</v>
      </c>
      <c r="BG30" s="1"/>
      <c r="BH30" s="1"/>
      <c r="BI30" s="1"/>
      <c r="BJ30" s="1"/>
      <c r="BK30" s="1"/>
      <c r="BL30" s="1"/>
      <c r="BM30" s="1"/>
      <c r="BN30" s="1"/>
      <c r="BO30" s="151">
        <v>28</v>
      </c>
      <c r="BP30" s="3" t="s">
        <v>752</v>
      </c>
      <c r="BQ30" s="4">
        <v>6</v>
      </c>
      <c r="BR30" s="4">
        <v>5</v>
      </c>
      <c r="BS30" s="4">
        <v>1</v>
      </c>
      <c r="BT30" s="4">
        <v>9</v>
      </c>
      <c r="BU30" s="20" t="s">
        <v>753</v>
      </c>
      <c r="BV30" s="5">
        <v>180000</v>
      </c>
      <c r="BW30" s="5" t="s">
        <v>92</v>
      </c>
      <c r="BX30" s="5" t="s">
        <v>29</v>
      </c>
      <c r="BY30" s="5">
        <v>1</v>
      </c>
      <c r="BZ30" s="274"/>
      <c r="CA30" s="6"/>
      <c r="CB30" s="7"/>
      <c r="CC30" s="5"/>
      <c r="CD30" s="5"/>
      <c r="CE30" s="5"/>
      <c r="CF30" s="5"/>
      <c r="CG30" s="6"/>
      <c r="CH30" s="5"/>
      <c r="CI30" s="35"/>
      <c r="CJ30" s="5"/>
      <c r="CK30" s="6"/>
      <c r="CL30" s="8"/>
      <c r="CM30" s="8"/>
      <c r="CN30" s="9"/>
      <c r="CO30" s="9"/>
      <c r="CP30" s="8"/>
      <c r="CQ30" s="8"/>
      <c r="CR30" s="9"/>
      <c r="CS30" s="8"/>
      <c r="CT30" s="8"/>
      <c r="CU30" s="8"/>
      <c r="CV30" s="8"/>
      <c r="CW30" s="9"/>
      <c r="CX30" s="8"/>
      <c r="CY30" s="9"/>
      <c r="CZ30" s="9"/>
      <c r="DA30" s="9"/>
      <c r="DB30" s="9"/>
      <c r="DC30" s="9"/>
      <c r="DD30" s="9"/>
      <c r="DE30" s="9"/>
      <c r="DF30" s="9"/>
      <c r="DG30" s="8"/>
      <c r="DH30" s="8"/>
      <c r="DI30" s="9"/>
      <c r="DJ30" s="8"/>
      <c r="DK30" s="9"/>
      <c r="DL30" s="151">
        <v>28</v>
      </c>
      <c r="DM30" s="64" t="s">
        <v>620</v>
      </c>
      <c r="DN30" s="38">
        <v>5</v>
      </c>
      <c r="DO30" s="38">
        <v>3</v>
      </c>
      <c r="DP30" s="38">
        <v>2</v>
      </c>
      <c r="DQ30" s="38">
        <v>8</v>
      </c>
      <c r="DR30" s="20" t="s">
        <v>709</v>
      </c>
      <c r="DS30" s="67">
        <v>120000</v>
      </c>
      <c r="DT30" s="271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</row>
    <row r="31" spans="2:149" ht="9" customHeight="1" thickBot="1">
      <c r="B31" s="179"/>
      <c r="C31" s="180"/>
      <c r="D31" s="180"/>
      <c r="E31" s="181"/>
      <c r="F31" s="180"/>
      <c r="G31" s="180"/>
      <c r="H31" s="180"/>
      <c r="I31" s="180"/>
      <c r="J31" s="180"/>
      <c r="K31" s="180"/>
      <c r="L31" s="180"/>
      <c r="M31" s="180"/>
      <c r="N31" s="180"/>
      <c r="O31" s="182"/>
      <c r="P31" s="183"/>
      <c r="Q31" s="183"/>
      <c r="R31" s="183"/>
      <c r="S31" s="183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50">
        <f aca="true" t="shared" si="43" ref="AT31:AY31">IF(AT14=59,1,(IF(AT14=60,4,(IF(AT14=61,3,(IF(AT14=62,2,0)))))))</f>
        <v>0</v>
      </c>
      <c r="AU31" s="250">
        <f t="shared" si="43"/>
        <v>0</v>
      </c>
      <c r="AV31" s="250">
        <f t="shared" si="43"/>
        <v>0</v>
      </c>
      <c r="AW31" s="250">
        <f t="shared" si="43"/>
        <v>0</v>
      </c>
      <c r="AX31" s="250">
        <f t="shared" si="43"/>
        <v>0</v>
      </c>
      <c r="AY31" s="251">
        <f t="shared" si="43"/>
        <v>0</v>
      </c>
      <c r="AZ31" s="1"/>
      <c r="BA31" s="232" t="str">
        <f aca="true" t="shared" si="44" ref="BA31:BF31">(IF(BA14&lt;&gt;"",VLOOKUP(BA14,$AH$43:$AI$104,2,FALSE),"0"))</f>
        <v>0</v>
      </c>
      <c r="BB31" s="233" t="str">
        <f t="shared" si="44"/>
        <v>0</v>
      </c>
      <c r="BC31" s="233" t="str">
        <f t="shared" si="44"/>
        <v>0</v>
      </c>
      <c r="BD31" s="233" t="str">
        <f t="shared" si="44"/>
        <v>0</v>
      </c>
      <c r="BE31" s="233" t="str">
        <f t="shared" si="44"/>
        <v>0</v>
      </c>
      <c r="BF31" s="234" t="str">
        <f t="shared" si="44"/>
        <v>0</v>
      </c>
      <c r="BG31" s="1"/>
      <c r="BH31" s="1"/>
      <c r="BI31" s="1"/>
      <c r="BJ31" s="1"/>
      <c r="BK31" s="1"/>
      <c r="BL31" s="1"/>
      <c r="BM31" s="1"/>
      <c r="BN31" s="1"/>
      <c r="BO31" s="151">
        <v>29</v>
      </c>
      <c r="BP31" s="63" t="s">
        <v>108</v>
      </c>
      <c r="BQ31" s="56">
        <v>4</v>
      </c>
      <c r="BR31" s="56">
        <v>3</v>
      </c>
      <c r="BS31" s="56">
        <v>2</v>
      </c>
      <c r="BT31" s="56">
        <v>9</v>
      </c>
      <c r="BU31" s="57" t="s">
        <v>88</v>
      </c>
      <c r="BV31" s="66">
        <v>70000</v>
      </c>
      <c r="BW31" s="66" t="s">
        <v>73</v>
      </c>
      <c r="BX31" s="66" t="s">
        <v>68</v>
      </c>
      <c r="BY31" s="66">
        <v>16</v>
      </c>
      <c r="BZ31" s="270" t="s">
        <v>107</v>
      </c>
      <c r="CA31" s="6"/>
      <c r="CB31" s="7"/>
      <c r="CC31" s="5"/>
      <c r="CD31" s="5"/>
      <c r="CE31" s="5"/>
      <c r="CF31" s="5"/>
      <c r="DK31" s="9"/>
      <c r="DL31" s="151">
        <v>29</v>
      </c>
      <c r="DM31" s="68" t="s">
        <v>621</v>
      </c>
      <c r="DN31" s="69">
        <v>4</v>
      </c>
      <c r="DO31" s="69">
        <v>7</v>
      </c>
      <c r="DP31" s="69">
        <v>1</v>
      </c>
      <c r="DQ31" s="69">
        <v>10</v>
      </c>
      <c r="DR31" s="61" t="s">
        <v>392</v>
      </c>
      <c r="DS31" s="70">
        <v>190000</v>
      </c>
      <c r="DT31" s="272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</row>
    <row r="32" spans="2:149" ht="18" customHeight="1" thickBot="1">
      <c r="B32" s="185"/>
      <c r="C32" s="255" t="s">
        <v>742</v>
      </c>
      <c r="D32" s="256"/>
      <c r="E32" s="256"/>
      <c r="F32" s="256"/>
      <c r="G32" s="256"/>
      <c r="H32" s="256"/>
      <c r="I32" s="256"/>
      <c r="J32" s="256"/>
      <c r="K32" s="257"/>
      <c r="L32" s="255" t="s">
        <v>743</v>
      </c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7"/>
      <c r="AE32" s="18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50">
        <f aca="true" t="shared" si="45" ref="AT32:AY32">IF(AT15=59,1,(IF(AT15=60,4,(IF(AT15=61,3,(IF(AT15=62,2,0)))))))</f>
        <v>0</v>
      </c>
      <c r="AU32" s="250">
        <f t="shared" si="45"/>
        <v>0</v>
      </c>
      <c r="AV32" s="250">
        <f t="shared" si="45"/>
        <v>0</v>
      </c>
      <c r="AW32" s="250">
        <f t="shared" si="45"/>
        <v>0</v>
      </c>
      <c r="AX32" s="250">
        <f t="shared" si="45"/>
        <v>0</v>
      </c>
      <c r="AY32" s="251">
        <f t="shared" si="45"/>
        <v>0</v>
      </c>
      <c r="AZ32" s="1"/>
      <c r="BA32" s="232" t="str">
        <f aca="true" t="shared" si="46" ref="BA32:BF32">(IF(BA15&lt;&gt;"",VLOOKUP(BA15,$AH$43:$AI$104,2,FALSE),"0"))</f>
        <v>0</v>
      </c>
      <c r="BB32" s="233" t="str">
        <f t="shared" si="46"/>
        <v>0</v>
      </c>
      <c r="BC32" s="233" t="str">
        <f t="shared" si="46"/>
        <v>0</v>
      </c>
      <c r="BD32" s="233" t="str">
        <f t="shared" si="46"/>
        <v>0</v>
      </c>
      <c r="BE32" s="233" t="str">
        <f t="shared" si="46"/>
        <v>0</v>
      </c>
      <c r="BF32" s="234" t="str">
        <f t="shared" si="46"/>
        <v>0</v>
      </c>
      <c r="BG32" s="1"/>
      <c r="BH32" s="1"/>
      <c r="BI32" s="1"/>
      <c r="BJ32" s="1"/>
      <c r="BK32" s="1"/>
      <c r="BL32" s="1"/>
      <c r="BM32" s="1"/>
      <c r="BN32" s="1"/>
      <c r="BO32" s="151">
        <v>30</v>
      </c>
      <c r="BP32" s="64" t="s">
        <v>109</v>
      </c>
      <c r="BQ32" s="4">
        <v>6</v>
      </c>
      <c r="BR32" s="4">
        <v>3</v>
      </c>
      <c r="BS32" s="4">
        <v>3</v>
      </c>
      <c r="BT32" s="4">
        <v>8</v>
      </c>
      <c r="BU32" s="20" t="s">
        <v>113</v>
      </c>
      <c r="BV32" s="67">
        <v>80000</v>
      </c>
      <c r="BW32" s="67" t="s">
        <v>67</v>
      </c>
      <c r="BX32" s="67" t="s">
        <v>71</v>
      </c>
      <c r="BY32" s="67">
        <v>2</v>
      </c>
      <c r="BZ32" s="271"/>
      <c r="CA32" s="6"/>
      <c r="CB32" s="7"/>
      <c r="CC32" s="5"/>
      <c r="CD32" s="5"/>
      <c r="CE32" s="5"/>
      <c r="CF32" s="5"/>
      <c r="DK32" s="9"/>
      <c r="DL32" s="151">
        <v>30</v>
      </c>
      <c r="DM32" s="55" t="s">
        <v>622</v>
      </c>
      <c r="DN32" s="56">
        <v>6</v>
      </c>
      <c r="DO32" s="56">
        <v>3</v>
      </c>
      <c r="DP32" s="56">
        <v>4</v>
      </c>
      <c r="DQ32" s="56">
        <v>7</v>
      </c>
      <c r="DR32" s="57" t="s">
        <v>491</v>
      </c>
      <c r="DS32" s="58">
        <v>90000</v>
      </c>
      <c r="DT32" s="290" t="s">
        <v>50</v>
      </c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</row>
    <row r="33" spans="2:149" ht="18" customHeight="1">
      <c r="B33" s="185"/>
      <c r="C33" s="137"/>
      <c r="D33" s="194">
        <f aca="true" t="shared" si="47" ref="D33:D40">IF(E33&lt;&gt;"",IF(K33&lt;&gt;"",BM33+50000,BM33),"")</f>
      </c>
      <c r="E33" s="48">
        <f>IF(BH33&lt;=1,"",VLOOKUP(BH33,DV:DW,2,FALSE))</f>
      </c>
      <c r="F33" s="44">
        <f>IF(E33&lt;&gt;"",VLOOKUP(E33,$DM:$DS,2,FALSE),"")</f>
      </c>
      <c r="G33" s="44">
        <f>IF(E33&lt;&gt;"",VLOOKUP(E33,$DM:$DS,3,FALSE),"")</f>
      </c>
      <c r="H33" s="44">
        <f>IF(E33&lt;&gt;"",VLOOKUP(E33,$DM:$DS,4,FALSE),"")</f>
      </c>
      <c r="I33" s="44">
        <f>IF(E33&lt;&gt;"",VLOOKUP(E33,$DM:$DS,5,FALSE),"")</f>
      </c>
      <c r="J33" s="50">
        <f>IF(E33="","",VLOOKUP(E33,DM:DS,6,FALSE))</f>
      </c>
      <c r="K33" s="51"/>
      <c r="L33" s="113"/>
      <c r="M33" s="114"/>
      <c r="N33" s="114"/>
      <c r="O33" s="114"/>
      <c r="P33" s="114"/>
      <c r="Q33" s="114"/>
      <c r="R33" s="114"/>
      <c r="S33" s="114"/>
      <c r="T33" s="114"/>
      <c r="U33" s="109" t="s">
        <v>590</v>
      </c>
      <c r="V33" s="161">
        <v>0</v>
      </c>
      <c r="W33" s="162" t="s">
        <v>62</v>
      </c>
      <c r="X33" s="267">
        <v>50000</v>
      </c>
      <c r="Y33" s="267"/>
      <c r="Z33" s="267"/>
      <c r="AA33" s="267"/>
      <c r="AB33" s="163" t="s">
        <v>745</v>
      </c>
      <c r="AC33" s="268">
        <f>V33*X33</f>
        <v>0</v>
      </c>
      <c r="AD33" s="269"/>
      <c r="AE33" s="18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50">
        <f aca="true" t="shared" si="48" ref="AT33:AY33">IF(AT16=59,1,(IF(AT16=60,4,(IF(AT16=61,3,(IF(AT16=62,2,0)))))))</f>
        <v>0</v>
      </c>
      <c r="AU33" s="250">
        <f t="shared" si="48"/>
        <v>0</v>
      </c>
      <c r="AV33" s="250">
        <f t="shared" si="48"/>
        <v>0</v>
      </c>
      <c r="AW33" s="250">
        <f t="shared" si="48"/>
        <v>0</v>
      </c>
      <c r="AX33" s="250">
        <f t="shared" si="48"/>
        <v>0</v>
      </c>
      <c r="AY33" s="251">
        <f t="shared" si="48"/>
        <v>0</v>
      </c>
      <c r="AZ33" s="1"/>
      <c r="BA33" s="232" t="str">
        <f aca="true" t="shared" si="49" ref="BA33:BF33">(IF(BA16&lt;&gt;"",VLOOKUP(BA16,$AH$43:$AI$104,2,FALSE),"0"))</f>
        <v>0</v>
      </c>
      <c r="BB33" s="233" t="str">
        <f t="shared" si="49"/>
        <v>0</v>
      </c>
      <c r="BC33" s="233" t="str">
        <f t="shared" si="49"/>
        <v>0</v>
      </c>
      <c r="BD33" s="233" t="str">
        <f t="shared" si="49"/>
        <v>0</v>
      </c>
      <c r="BE33" s="233" t="str">
        <f t="shared" si="49"/>
        <v>0</v>
      </c>
      <c r="BF33" s="234" t="str">
        <f t="shared" si="49"/>
        <v>0</v>
      </c>
      <c r="BG33" s="1"/>
      <c r="BH33" s="16">
        <v>1</v>
      </c>
      <c r="BI33" s="12" t="e">
        <f>VLOOKUP(E33,$DM:$DS,2,FALSE)</f>
        <v>#N/A</v>
      </c>
      <c r="BJ33" s="12" t="e">
        <f>VLOOKUP(E33,$DM:$DS,3,FALSE)</f>
        <v>#N/A</v>
      </c>
      <c r="BK33" s="12" t="e">
        <f>VLOOKUP(E33,$DM:$DS,4,FALSE)</f>
        <v>#N/A</v>
      </c>
      <c r="BL33" s="12" t="e">
        <f>VLOOKUP(E33,$DM:$DS,5,FALSE)</f>
        <v>#N/A</v>
      </c>
      <c r="BM33" s="7" t="str">
        <f>(IF(E33&lt;&gt;"",VLOOKUP(E33,DM:DS,7,FALSE),"0"))</f>
        <v>0</v>
      </c>
      <c r="BN33" s="1"/>
      <c r="BO33" s="151">
        <v>31</v>
      </c>
      <c r="BP33" s="64" t="s">
        <v>110</v>
      </c>
      <c r="BQ33" s="38">
        <v>5</v>
      </c>
      <c r="BR33" s="38">
        <v>3</v>
      </c>
      <c r="BS33" s="38">
        <v>3</v>
      </c>
      <c r="BT33" s="38">
        <v>9</v>
      </c>
      <c r="BU33" s="20" t="s">
        <v>114</v>
      </c>
      <c r="BV33" s="67">
        <v>80000</v>
      </c>
      <c r="BW33" s="67" t="s">
        <v>73</v>
      </c>
      <c r="BX33" s="67" t="s">
        <v>68</v>
      </c>
      <c r="BY33" s="67">
        <v>2</v>
      </c>
      <c r="BZ33" s="271"/>
      <c r="CA33" s="6"/>
      <c r="CB33" s="7"/>
      <c r="CC33" s="5"/>
      <c r="CD33" s="5"/>
      <c r="CE33" s="5"/>
      <c r="CF33" s="5"/>
      <c r="DK33" s="9"/>
      <c r="DL33" s="151">
        <v>31</v>
      </c>
      <c r="DM33" s="3" t="s">
        <v>623</v>
      </c>
      <c r="DN33" s="4">
        <v>6</v>
      </c>
      <c r="DO33" s="4">
        <v>3</v>
      </c>
      <c r="DP33" s="4">
        <v>4</v>
      </c>
      <c r="DQ33" s="4">
        <v>7</v>
      </c>
      <c r="DR33" s="20" t="s">
        <v>710</v>
      </c>
      <c r="DS33" s="5">
        <v>100000</v>
      </c>
      <c r="DT33" s="291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</row>
    <row r="34" spans="2:124" ht="18" customHeight="1">
      <c r="B34" s="185"/>
      <c r="C34" s="138"/>
      <c r="D34" s="195">
        <f t="shared" si="47"/>
      </c>
      <c r="E34" s="43">
        <f>IF(BH34&lt;=1,"",VLOOKUP(BH34,DV:DW,2,FALSE))</f>
      </c>
      <c r="F34" s="44">
        <f>IF(E34&lt;&gt;"",VLOOKUP(E34,$DM:$DS,2,FALSE),"")</f>
      </c>
      <c r="G34" s="44">
        <f>IF(E34&lt;&gt;"",VLOOKUP(E34,$DM:$DS,3,FALSE),"")</f>
      </c>
      <c r="H34" s="44">
        <f>IF(E34&lt;&gt;"",VLOOKUP(E34,$DM:$DS,4,FALSE),"")</f>
      </c>
      <c r="I34" s="44">
        <f>IF(E34&lt;&gt;"",VLOOKUP(E34,$DM:$DS,5,FALSE),"")</f>
      </c>
      <c r="J34" s="45">
        <f>IF(E34="","",VLOOKUP(E34,DM:DS,6,FALSE))</f>
      </c>
      <c r="K34" s="46"/>
      <c r="L34" s="115"/>
      <c r="M34" s="116"/>
      <c r="N34" s="116"/>
      <c r="O34" s="116"/>
      <c r="P34" s="116"/>
      <c r="Q34" s="116"/>
      <c r="R34" s="116"/>
      <c r="S34" s="116"/>
      <c r="T34" s="116"/>
      <c r="U34" s="108" t="s">
        <v>591</v>
      </c>
      <c r="V34" s="29">
        <v>0</v>
      </c>
      <c r="W34" s="102" t="s">
        <v>62</v>
      </c>
      <c r="X34" s="263">
        <f>IF(K24="Goblin",50000,100000)</f>
        <v>100000</v>
      </c>
      <c r="Y34" s="263"/>
      <c r="Z34" s="263"/>
      <c r="AA34" s="263"/>
      <c r="AB34" s="104" t="s">
        <v>745</v>
      </c>
      <c r="AC34" s="264">
        <f aca="true" t="shared" si="50" ref="AC34:AC39">V34*X34</f>
        <v>0</v>
      </c>
      <c r="AD34" s="265"/>
      <c r="AE34" s="187"/>
      <c r="AT34" s="250">
        <f aca="true" t="shared" si="51" ref="AT34:AY34">IF(AT17=59,1,(IF(AT17=60,4,(IF(AT17=61,3,(IF(AT17=62,2,0)))))))</f>
        <v>0</v>
      </c>
      <c r="AU34" s="250">
        <f t="shared" si="51"/>
        <v>0</v>
      </c>
      <c r="AV34" s="250">
        <f t="shared" si="51"/>
        <v>0</v>
      </c>
      <c r="AW34" s="250">
        <f t="shared" si="51"/>
        <v>0</v>
      </c>
      <c r="AX34" s="250">
        <f t="shared" si="51"/>
        <v>0</v>
      </c>
      <c r="AY34" s="251">
        <f t="shared" si="51"/>
        <v>0</v>
      </c>
      <c r="BA34" s="232" t="str">
        <f aca="true" t="shared" si="52" ref="BA34:BF34">(IF(BA17&lt;&gt;"",VLOOKUP(BA17,$AH$43:$AI$104,2,FALSE),"0"))</f>
        <v>0</v>
      </c>
      <c r="BB34" s="233" t="str">
        <f t="shared" si="52"/>
        <v>0</v>
      </c>
      <c r="BC34" s="233" t="str">
        <f t="shared" si="52"/>
        <v>0</v>
      </c>
      <c r="BD34" s="233" t="str">
        <f t="shared" si="52"/>
        <v>0</v>
      </c>
      <c r="BE34" s="233" t="str">
        <f t="shared" si="52"/>
        <v>0</v>
      </c>
      <c r="BF34" s="234" t="str">
        <f t="shared" si="52"/>
        <v>0</v>
      </c>
      <c r="BH34" s="16">
        <v>1</v>
      </c>
      <c r="BI34" s="12" t="e">
        <f>VLOOKUP(E34,$DM:$DS,2,FALSE)</f>
        <v>#N/A</v>
      </c>
      <c r="BJ34" s="12" t="e">
        <f>VLOOKUP(E34,$DM:$DS,3,FALSE)</f>
        <v>#N/A</v>
      </c>
      <c r="BK34" s="12" t="e">
        <f>VLOOKUP(E34,$DM:$DS,4,FALSE)</f>
        <v>#N/A</v>
      </c>
      <c r="BL34" s="12" t="e">
        <f>VLOOKUP(E34,$DM:$DS,5,FALSE)</f>
        <v>#N/A</v>
      </c>
      <c r="BM34" s="7" t="str">
        <f>(IF(E34&lt;&gt;"",VLOOKUP(E34,DM:DS,7,FALSE),"0"))</f>
        <v>0</v>
      </c>
      <c r="BN34" s="1"/>
      <c r="BO34" s="151">
        <v>32</v>
      </c>
      <c r="BP34" s="64" t="s">
        <v>111</v>
      </c>
      <c r="BQ34" s="38">
        <v>5</v>
      </c>
      <c r="BR34" s="38">
        <v>3</v>
      </c>
      <c r="BS34" s="38">
        <v>2</v>
      </c>
      <c r="BT34" s="38">
        <v>8</v>
      </c>
      <c r="BU34" s="20" t="s">
        <v>115</v>
      </c>
      <c r="BV34" s="67">
        <v>90000</v>
      </c>
      <c r="BW34" s="67" t="s">
        <v>73</v>
      </c>
      <c r="BX34" s="67" t="s">
        <v>68</v>
      </c>
      <c r="BY34" s="67">
        <v>2</v>
      </c>
      <c r="BZ34" s="271"/>
      <c r="CA34" s="6"/>
      <c r="CB34" s="7"/>
      <c r="CC34" s="5"/>
      <c r="CD34" s="5"/>
      <c r="CE34" s="5"/>
      <c r="CF34" s="5"/>
      <c r="DL34" s="151">
        <v>32</v>
      </c>
      <c r="DM34" s="3" t="s">
        <v>624</v>
      </c>
      <c r="DN34" s="4">
        <v>8</v>
      </c>
      <c r="DO34" s="4">
        <v>3</v>
      </c>
      <c r="DP34" s="4">
        <v>4</v>
      </c>
      <c r="DQ34" s="4">
        <v>7</v>
      </c>
      <c r="DR34" s="20" t="s">
        <v>711</v>
      </c>
      <c r="DS34" s="5">
        <v>130000</v>
      </c>
      <c r="DT34" s="291"/>
    </row>
    <row r="35" spans="2:124" ht="18" customHeight="1">
      <c r="B35" s="185"/>
      <c r="C35" s="138"/>
      <c r="D35" s="195">
        <f t="shared" si="47"/>
      </c>
      <c r="E35" s="43">
        <f>IF(BH35&lt;=1,"",VLOOKUP(BH35,DV:DW,2,FALSE))</f>
      </c>
      <c r="F35" s="44">
        <f>IF(E35&lt;&gt;"",VLOOKUP(E35,$DM:$DS,2,FALSE),"")</f>
      </c>
      <c r="G35" s="44">
        <f>IF(E35&lt;&gt;"",VLOOKUP(E35,$DM:$DS,3,FALSE),"")</f>
      </c>
      <c r="H35" s="44">
        <f>IF(E35&lt;&gt;"",VLOOKUP(E35,$DM:$DS,4,FALSE),"")</f>
      </c>
      <c r="I35" s="44">
        <f>IF(E35&lt;&gt;"",VLOOKUP(E35,$DM:$DS,5,FALSE),"")</f>
      </c>
      <c r="J35" s="45">
        <f>IF(E35="","",VLOOKUP(E35,DM:DS,6,FALSE))</f>
      </c>
      <c r="K35" s="46"/>
      <c r="L35" s="115"/>
      <c r="M35" s="116"/>
      <c r="N35" s="116"/>
      <c r="O35" s="116"/>
      <c r="P35" s="116"/>
      <c r="Q35" s="116"/>
      <c r="R35" s="116"/>
      <c r="S35" s="116"/>
      <c r="T35" s="116"/>
      <c r="U35" s="108" t="s">
        <v>592</v>
      </c>
      <c r="V35" s="29">
        <v>0</v>
      </c>
      <c r="W35" s="102" t="s">
        <v>62</v>
      </c>
      <c r="X35" s="263">
        <v>100000</v>
      </c>
      <c r="Y35" s="263"/>
      <c r="Z35" s="263"/>
      <c r="AA35" s="263"/>
      <c r="AB35" s="104" t="s">
        <v>745</v>
      </c>
      <c r="AC35" s="264">
        <f t="shared" si="50"/>
        <v>0</v>
      </c>
      <c r="AD35" s="265"/>
      <c r="AE35" s="187"/>
      <c r="AT35" s="250">
        <f aca="true" t="shared" si="53" ref="AT35:AY35">IF(AT18=59,1,(IF(AT18=60,4,(IF(AT18=61,3,(IF(AT18=62,2,0)))))))</f>
        <v>0</v>
      </c>
      <c r="AU35" s="250">
        <f t="shared" si="53"/>
        <v>0</v>
      </c>
      <c r="AV35" s="250">
        <f t="shared" si="53"/>
        <v>0</v>
      </c>
      <c r="AW35" s="250">
        <f t="shared" si="53"/>
        <v>0</v>
      </c>
      <c r="AX35" s="250">
        <f t="shared" si="53"/>
        <v>0</v>
      </c>
      <c r="AY35" s="251">
        <f t="shared" si="53"/>
        <v>0</v>
      </c>
      <c r="BA35" s="232" t="str">
        <f aca="true" t="shared" si="54" ref="BA35:BF35">(IF(BA18&lt;&gt;"",VLOOKUP(BA18,$AH$43:$AI$104,2,FALSE),"0"))</f>
        <v>0</v>
      </c>
      <c r="BB35" s="233" t="str">
        <f t="shared" si="54"/>
        <v>0</v>
      </c>
      <c r="BC35" s="233" t="str">
        <f t="shared" si="54"/>
        <v>0</v>
      </c>
      <c r="BD35" s="233" t="str">
        <f t="shared" si="54"/>
        <v>0</v>
      </c>
      <c r="BE35" s="233" t="str">
        <f t="shared" si="54"/>
        <v>0</v>
      </c>
      <c r="BF35" s="234" t="str">
        <f t="shared" si="54"/>
        <v>0</v>
      </c>
      <c r="BH35" s="16">
        <v>1</v>
      </c>
      <c r="BI35" s="12" t="e">
        <f>VLOOKUP(E35,$DM:$DS,2,FALSE)</f>
        <v>#N/A</v>
      </c>
      <c r="BJ35" s="12" t="e">
        <f>VLOOKUP(E35,$DM:$DS,3,FALSE)</f>
        <v>#N/A</v>
      </c>
      <c r="BK35" s="12" t="e">
        <f>VLOOKUP(E35,$DM:$DS,4,FALSE)</f>
        <v>#N/A</v>
      </c>
      <c r="BL35" s="12" t="e">
        <f>VLOOKUP(E35,$DM:$DS,5,FALSE)</f>
        <v>#N/A</v>
      </c>
      <c r="BM35" s="7" t="str">
        <f>(IF(E35&lt;&gt;"",VLOOKUP(E35,DM:DS,7,FALSE),"0"))</f>
        <v>0</v>
      </c>
      <c r="BN35" s="1"/>
      <c r="BO35" s="151">
        <v>33</v>
      </c>
      <c r="BP35" s="68" t="s">
        <v>112</v>
      </c>
      <c r="BQ35" s="69">
        <v>4</v>
      </c>
      <c r="BR35" s="69">
        <v>7</v>
      </c>
      <c r="BS35" s="69">
        <v>1</v>
      </c>
      <c r="BT35" s="69">
        <v>10</v>
      </c>
      <c r="BU35" s="61" t="s">
        <v>392</v>
      </c>
      <c r="BV35" s="70">
        <v>160000</v>
      </c>
      <c r="BW35" s="70" t="s">
        <v>92</v>
      </c>
      <c r="BX35" s="70" t="s">
        <v>29</v>
      </c>
      <c r="BY35" s="70">
        <v>1</v>
      </c>
      <c r="BZ35" s="272"/>
      <c r="CA35" s="6"/>
      <c r="CB35" s="20"/>
      <c r="CC35" s="5"/>
      <c r="CD35" s="5"/>
      <c r="CE35" s="5"/>
      <c r="CF35" s="5"/>
      <c r="DL35" s="151">
        <v>33</v>
      </c>
      <c r="DM35" s="59" t="s">
        <v>625</v>
      </c>
      <c r="DN35" s="60">
        <v>7</v>
      </c>
      <c r="DO35" s="60">
        <v>3</v>
      </c>
      <c r="DP35" s="60">
        <v>4</v>
      </c>
      <c r="DQ35" s="60">
        <v>8</v>
      </c>
      <c r="DR35" s="61" t="s">
        <v>712</v>
      </c>
      <c r="DS35" s="62">
        <v>140000</v>
      </c>
      <c r="DT35" s="292"/>
    </row>
    <row r="36" spans="2:124" ht="18" customHeight="1">
      <c r="B36" s="185"/>
      <c r="C36" s="138"/>
      <c r="D36" s="195">
        <f t="shared" si="47"/>
      </c>
      <c r="E36" s="43">
        <f>IF(BH36&lt;=1,"",VLOOKUP(BH36,DV:DW,2,FALSE))</f>
      </c>
      <c r="F36" s="44">
        <f>IF(E36&lt;&gt;"",VLOOKUP(E36,$DM:$DS,2,FALSE),"")</f>
      </c>
      <c r="G36" s="44">
        <f>IF(E36&lt;&gt;"",VLOOKUP(E36,$DM:$DS,3,FALSE),"")</f>
      </c>
      <c r="H36" s="44">
        <f>IF(E36&lt;&gt;"",VLOOKUP(E36,$DM:$DS,4,FALSE),"")</f>
      </c>
      <c r="I36" s="44">
        <f>IF(E36&lt;&gt;"",VLOOKUP(E36,$DM:$DS,5,FALSE),"")</f>
      </c>
      <c r="J36" s="45">
        <f>IF(E36="","",VLOOKUP(E36,DM:DS,6,FALSE))</f>
      </c>
      <c r="K36" s="46"/>
      <c r="L36" s="115"/>
      <c r="M36" s="116"/>
      <c r="N36" s="116"/>
      <c r="O36" s="116"/>
      <c r="P36" s="116"/>
      <c r="Q36" s="116"/>
      <c r="R36" s="116"/>
      <c r="S36" s="116"/>
      <c r="T36" s="116"/>
      <c r="U36" s="108" t="s">
        <v>593</v>
      </c>
      <c r="V36" s="29">
        <v>0</v>
      </c>
      <c r="W36" s="102" t="s">
        <v>62</v>
      </c>
      <c r="X36" s="263">
        <f>IF(K24="Halfling",100000,300000)</f>
        <v>300000</v>
      </c>
      <c r="Y36" s="263"/>
      <c r="Z36" s="263"/>
      <c r="AA36" s="263"/>
      <c r="AB36" s="104" t="s">
        <v>745</v>
      </c>
      <c r="AC36" s="264">
        <f t="shared" si="50"/>
        <v>0</v>
      </c>
      <c r="AD36" s="265"/>
      <c r="AE36" s="187"/>
      <c r="AT36" s="250">
        <f aca="true" t="shared" si="55" ref="AT36:AY36">IF(AT19=59,1,(IF(AT19=60,4,(IF(AT19=61,3,(IF(AT19=62,2,0)))))))</f>
        <v>0</v>
      </c>
      <c r="AU36" s="250">
        <f t="shared" si="55"/>
        <v>0</v>
      </c>
      <c r="AV36" s="250">
        <f t="shared" si="55"/>
        <v>0</v>
      </c>
      <c r="AW36" s="250">
        <f t="shared" si="55"/>
        <v>0</v>
      </c>
      <c r="AX36" s="250">
        <f t="shared" si="55"/>
        <v>0</v>
      </c>
      <c r="AY36" s="251">
        <f t="shared" si="55"/>
        <v>0</v>
      </c>
      <c r="BA36" s="232" t="str">
        <f aca="true" t="shared" si="56" ref="BA36:BF36">(IF(BA19&lt;&gt;"",VLOOKUP(BA19,$AH$43:$AI$104,2,FALSE),"0"))</f>
        <v>0</v>
      </c>
      <c r="BB36" s="233" t="str">
        <f t="shared" si="56"/>
        <v>0</v>
      </c>
      <c r="BC36" s="233" t="str">
        <f t="shared" si="56"/>
        <v>0</v>
      </c>
      <c r="BD36" s="233" t="str">
        <f t="shared" si="56"/>
        <v>0</v>
      </c>
      <c r="BE36" s="233" t="str">
        <f t="shared" si="56"/>
        <v>0</v>
      </c>
      <c r="BF36" s="234" t="str">
        <f t="shared" si="56"/>
        <v>0</v>
      </c>
      <c r="BH36" s="16">
        <v>1</v>
      </c>
      <c r="BI36" s="12" t="e">
        <f>VLOOKUP(E36,$DM:$DS,2,FALSE)</f>
        <v>#N/A</v>
      </c>
      <c r="BJ36" s="12" t="e">
        <f>VLOOKUP(E36,$DM:$DS,3,FALSE)</f>
        <v>#N/A</v>
      </c>
      <c r="BK36" s="12" t="e">
        <f>VLOOKUP(E36,$DM:$DS,4,FALSE)</f>
        <v>#N/A</v>
      </c>
      <c r="BL36" s="12" t="e">
        <f>VLOOKUP(E36,$DM:$DS,5,FALSE)</f>
        <v>#N/A</v>
      </c>
      <c r="BM36" s="7" t="str">
        <f>(IF(E36&lt;&gt;"",VLOOKUP(E36,DM:DS,7,FALSE),"0"))</f>
        <v>0</v>
      </c>
      <c r="BN36" s="1"/>
      <c r="BO36" s="151">
        <v>34</v>
      </c>
      <c r="BP36" s="55" t="s">
        <v>116</v>
      </c>
      <c r="BQ36" s="56">
        <v>6</v>
      </c>
      <c r="BR36" s="56">
        <v>3</v>
      </c>
      <c r="BS36" s="56">
        <v>4</v>
      </c>
      <c r="BT36" s="56">
        <v>7</v>
      </c>
      <c r="BU36" s="57"/>
      <c r="BV36" s="58">
        <v>60000</v>
      </c>
      <c r="BW36" s="58" t="s">
        <v>69</v>
      </c>
      <c r="BX36" s="58" t="s">
        <v>72</v>
      </c>
      <c r="BY36" s="58">
        <v>16</v>
      </c>
      <c r="BZ36" s="290" t="s">
        <v>50</v>
      </c>
      <c r="CA36" s="6"/>
      <c r="CB36" s="7"/>
      <c r="CC36" s="5"/>
      <c r="CD36" s="5"/>
      <c r="CE36" s="5"/>
      <c r="CF36" s="5"/>
      <c r="DL36" s="151">
        <v>34</v>
      </c>
      <c r="DM36" s="55" t="s">
        <v>626</v>
      </c>
      <c r="DN36" s="56">
        <v>6</v>
      </c>
      <c r="DO36" s="56">
        <v>2</v>
      </c>
      <c r="DP36" s="56">
        <v>3</v>
      </c>
      <c r="DQ36" s="56">
        <v>7</v>
      </c>
      <c r="DR36" s="57" t="s">
        <v>285</v>
      </c>
      <c r="DS36" s="58">
        <v>70000</v>
      </c>
      <c r="DT36" s="270" t="s">
        <v>33</v>
      </c>
    </row>
    <row r="37" spans="2:124" ht="18" customHeight="1">
      <c r="B37" s="185"/>
      <c r="C37" s="138"/>
      <c r="D37" s="195">
        <f t="shared" si="47"/>
      </c>
      <c r="E37" s="43">
        <f>IF(BH37&lt;=1,"",VLOOKUP(BH37,DV:DW,2,FALSE))</f>
      </c>
      <c r="F37" s="44">
        <f>IF(E37&lt;&gt;"",VLOOKUP(E37,$DM:$DS,2,FALSE),"")</f>
      </c>
      <c r="G37" s="44">
        <f>IF(E37&lt;&gt;"",VLOOKUP(E37,$DM:$DS,3,FALSE),"")</f>
      </c>
      <c r="H37" s="44">
        <f>IF(E37&lt;&gt;"",VLOOKUP(E37,$DM:$DS,4,FALSE),"")</f>
      </c>
      <c r="I37" s="44">
        <f>IF(E37&lt;&gt;"",VLOOKUP(E37,$DM:$DS,5,FALSE),"")</f>
      </c>
      <c r="J37" s="45">
        <f>IF(E37="","",VLOOKUP(E37,DM:DS,6,FALSE))</f>
      </c>
      <c r="K37" s="46"/>
      <c r="L37" s="115"/>
      <c r="M37" s="116"/>
      <c r="N37" s="116"/>
      <c r="O37" s="116"/>
      <c r="P37" s="116"/>
      <c r="Q37" s="116"/>
      <c r="R37" s="116"/>
      <c r="S37" s="116"/>
      <c r="T37" s="160"/>
      <c r="U37" s="170">
        <f>IF(K24="Undead","IGOR [0-1]",(IF(K24="Necromantic","IGOR [0-1]",(IF(K24="Khemri","IGOR [0-1]",(IF(K24="Nurgle","IGOR [0-1]","")))))))</f>
      </c>
      <c r="V37" s="30">
        <v>0</v>
      </c>
      <c r="W37" s="102">
        <f>IF(K24="Undead","x",(IF(K24="Necromantic","x",(IF(K24="Khemri","x",(IF(K24="Nurgle","x","")))))))</f>
      </c>
      <c r="X37" s="263">
        <f>IF(K24="Undead",100000,(IF(K24="Necromantic",100000,(IF(K24="Khemri",100000,(IF(K24="Nurgle",100000,"")))))))</f>
      </c>
      <c r="Y37" s="263"/>
      <c r="Z37" s="263"/>
      <c r="AA37" s="263"/>
      <c r="AB37" s="104">
        <f>IF(K24="Undead","gp",(IF(K24="Necromantic","gp",(IF(K24="Khemri","gp",(IF(K24="Nurgle","gp","")))))))</f>
      </c>
      <c r="AC37" s="264">
        <f>IF(K24="Undead",V37*X37,(IF(K24="Necromantic",V37*X37,(IF(K24="Khemri",V37*X37,(IF(K24="Nurgle",V37*X37,0)))))))</f>
        <v>0</v>
      </c>
      <c r="AD37" s="265"/>
      <c r="AE37" s="187"/>
      <c r="AT37" s="252">
        <f aca="true" t="shared" si="57" ref="AT37:AY37">IF(AT20=59,1,(IF(AT20=60,4,(IF(AT20=61,3,(IF(AT20=62,2,0)))))))</f>
        <v>0</v>
      </c>
      <c r="AU37" s="252">
        <f t="shared" si="57"/>
        <v>0</v>
      </c>
      <c r="AV37" s="252">
        <f t="shared" si="57"/>
        <v>0</v>
      </c>
      <c r="AW37" s="252">
        <f t="shared" si="57"/>
        <v>0</v>
      </c>
      <c r="AX37" s="252">
        <f t="shared" si="57"/>
        <v>0</v>
      </c>
      <c r="AY37" s="253">
        <f t="shared" si="57"/>
        <v>0</v>
      </c>
      <c r="BA37" s="235" t="str">
        <f aca="true" t="shared" si="58" ref="BA37:BF37">(IF(BA20&lt;&gt;"",VLOOKUP(BA20,$AH$43:$AI$104,2,FALSE),"0"))</f>
        <v>0</v>
      </c>
      <c r="BB37" s="236" t="str">
        <f t="shared" si="58"/>
        <v>0</v>
      </c>
      <c r="BC37" s="236" t="str">
        <f t="shared" si="58"/>
        <v>0</v>
      </c>
      <c r="BD37" s="236" t="str">
        <f t="shared" si="58"/>
        <v>0</v>
      </c>
      <c r="BE37" s="236" t="str">
        <f t="shared" si="58"/>
        <v>0</v>
      </c>
      <c r="BF37" s="237" t="str">
        <f t="shared" si="58"/>
        <v>0</v>
      </c>
      <c r="BH37" s="16">
        <v>1</v>
      </c>
      <c r="BI37" s="12" t="e">
        <f>VLOOKUP(E37,$DM:$DS,2,FALSE)</f>
        <v>#N/A</v>
      </c>
      <c r="BJ37" s="12" t="e">
        <f>VLOOKUP(E37,$DM:$DS,3,FALSE)</f>
        <v>#N/A</v>
      </c>
      <c r="BK37" s="12" t="e">
        <f>VLOOKUP(E37,$DM:$DS,4,FALSE)</f>
        <v>#N/A</v>
      </c>
      <c r="BL37" s="12" t="e">
        <f>VLOOKUP(E37,$DM:$DS,5,FALSE)</f>
        <v>#N/A</v>
      </c>
      <c r="BM37" s="7" t="str">
        <f>(IF(E37&lt;&gt;"",VLOOKUP(E37,DM:DS,7,FALSE),"0"))</f>
        <v>0</v>
      </c>
      <c r="BN37" s="1"/>
      <c r="BO37" s="151">
        <v>35</v>
      </c>
      <c r="BP37" s="3" t="s">
        <v>117</v>
      </c>
      <c r="BQ37" s="4">
        <v>6</v>
      </c>
      <c r="BR37" s="4">
        <v>3</v>
      </c>
      <c r="BS37" s="4">
        <v>4</v>
      </c>
      <c r="BT37" s="4">
        <v>7</v>
      </c>
      <c r="BU37" s="20" t="s">
        <v>121</v>
      </c>
      <c r="BV37" s="5">
        <v>70000</v>
      </c>
      <c r="BW37" s="5" t="s">
        <v>29</v>
      </c>
      <c r="BX37" s="5" t="s">
        <v>92</v>
      </c>
      <c r="BY37" s="5">
        <v>2</v>
      </c>
      <c r="BZ37" s="291"/>
      <c r="CA37" s="6"/>
      <c r="CB37" s="7"/>
      <c r="CC37" s="5"/>
      <c r="CD37" s="5"/>
      <c r="CE37" s="5"/>
      <c r="CF37" s="5"/>
      <c r="DL37" s="151">
        <v>35</v>
      </c>
      <c r="DM37" s="3" t="s">
        <v>627</v>
      </c>
      <c r="DN37" s="4">
        <v>6</v>
      </c>
      <c r="DO37" s="4">
        <v>2</v>
      </c>
      <c r="DP37" s="4">
        <v>3</v>
      </c>
      <c r="DQ37" s="4">
        <v>7</v>
      </c>
      <c r="DR37" s="20" t="s">
        <v>713</v>
      </c>
      <c r="DS37" s="5">
        <v>70000</v>
      </c>
      <c r="DT37" s="271"/>
    </row>
    <row r="38" spans="2:124" ht="18" customHeight="1">
      <c r="B38" s="185"/>
      <c r="C38" s="138"/>
      <c r="D38" s="195">
        <f t="shared" si="47"/>
      </c>
      <c r="E38" s="43">
        <f>IF(BH38&lt;=1,"",VLOOKUP(BH38,DV:DW,2,FALSE))</f>
      </c>
      <c r="F38" s="44">
        <f>IF(E38&lt;&gt;"",VLOOKUP(E38,$DM:$DS,2,FALSE),"")</f>
      </c>
      <c r="G38" s="44">
        <f>IF(E38&lt;&gt;"",VLOOKUP(E38,$DM:$DS,3,FALSE),"")</f>
      </c>
      <c r="H38" s="44">
        <f>IF(E38&lt;&gt;"",VLOOKUP(E38,$DM:$DS,4,FALSE),"")</f>
      </c>
      <c r="I38" s="44">
        <f>IF(E38&lt;&gt;"",VLOOKUP(E38,$DM:$DS,5,FALSE),"")</f>
      </c>
      <c r="J38" s="45">
        <f>IF(E38="","",VLOOKUP(E38,DM:DS,6,FALSE))</f>
      </c>
      <c r="K38" s="46"/>
      <c r="L38" s="169"/>
      <c r="M38" s="160"/>
      <c r="N38" s="160"/>
      <c r="O38" s="160"/>
      <c r="P38" s="160"/>
      <c r="Q38" s="160"/>
      <c r="R38" s="160"/>
      <c r="S38" s="160"/>
      <c r="T38" s="160"/>
      <c r="U38" s="173" t="str">
        <f>IF(K24="Undead","",(IF(K24="Necromantic","",(IF(K24="Khemri","",(IF(K24="Nurgle","","WANDERING APOTHECARIES [0-2]")))))))</f>
        <v>WANDERING APOTHECARIES [0-2]</v>
      </c>
      <c r="V38" s="30">
        <v>0</v>
      </c>
      <c r="W38" s="171" t="str">
        <f>IF(K24="Undead","",(IF(K24="Necromantic","",(IF(K24="Khemri","",(IF(K24="Nurgle","","x")))))))</f>
        <v>x</v>
      </c>
      <c r="X38" s="266">
        <f>IF(K24="Undead","",(IF(K24="Necromantic","",(IF(K24="Khemri","",(IF(K24="Nurgle","",100000)))))))</f>
        <v>100000</v>
      </c>
      <c r="Y38" s="266"/>
      <c r="Z38" s="266"/>
      <c r="AA38" s="266"/>
      <c r="AB38" s="172" t="str">
        <f>IF(K24="Undead","",(IF(K24="Necromantic","",(IF(K24="Khemri","",(IF(K24="Nurgle","","gp")))))))</f>
        <v>gp</v>
      </c>
      <c r="AC38" s="264">
        <f>IF(K24="Undead",0,(IF(K24="Necromantic",0,(IF(K24="Khemri",0,(IF(K24="Nurgle",0,V38*X38)))))))</f>
        <v>0</v>
      </c>
      <c r="AD38" s="265"/>
      <c r="AE38" s="187"/>
      <c r="AW38" s="249" t="s">
        <v>824</v>
      </c>
      <c r="AY38" s="249" t="s">
        <v>823</v>
      </c>
      <c r="BA38" s="254" t="s">
        <v>830</v>
      </c>
      <c r="BB38" s="1"/>
      <c r="BC38" s="1"/>
      <c r="BD38" s="1"/>
      <c r="BE38" s="1"/>
      <c r="BF38" s="1"/>
      <c r="BH38" s="16">
        <v>1</v>
      </c>
      <c r="BI38" s="12" t="e">
        <f>VLOOKUP(E38,$DM:$DS,2,FALSE)</f>
        <v>#N/A</v>
      </c>
      <c r="BJ38" s="12" t="e">
        <f>VLOOKUP(E38,$DM:$DS,3,FALSE)</f>
        <v>#N/A</v>
      </c>
      <c r="BK38" s="12" t="e">
        <f>VLOOKUP(E38,$DM:$DS,4,FALSE)</f>
        <v>#N/A</v>
      </c>
      <c r="BL38" s="12" t="e">
        <f>VLOOKUP(E38,$DM:$DS,5,FALSE)</f>
        <v>#N/A</v>
      </c>
      <c r="BM38" s="7" t="str">
        <f>(IF(E38&lt;&gt;"",VLOOKUP(E38,DM:DS,7,FALSE),"0"))</f>
        <v>0</v>
      </c>
      <c r="BN38" s="1"/>
      <c r="BO38" s="151">
        <v>36</v>
      </c>
      <c r="BP38" s="3" t="s">
        <v>118</v>
      </c>
      <c r="BQ38" s="4">
        <v>8</v>
      </c>
      <c r="BR38" s="4">
        <v>3</v>
      </c>
      <c r="BS38" s="4">
        <v>4</v>
      </c>
      <c r="BT38" s="4">
        <v>7</v>
      </c>
      <c r="BU38" s="20" t="s">
        <v>120</v>
      </c>
      <c r="BV38" s="5">
        <v>100000</v>
      </c>
      <c r="BW38" s="5" t="s">
        <v>69</v>
      </c>
      <c r="BX38" s="5" t="s">
        <v>72</v>
      </c>
      <c r="BY38" s="5">
        <v>4</v>
      </c>
      <c r="BZ38" s="291"/>
      <c r="CA38" s="6"/>
      <c r="CB38" s="7"/>
      <c r="CC38" s="5"/>
      <c r="CD38" s="5"/>
      <c r="CE38" s="5"/>
      <c r="CF38" s="5"/>
      <c r="DL38" s="151">
        <v>36</v>
      </c>
      <c r="DM38" s="3" t="s">
        <v>628</v>
      </c>
      <c r="DN38" s="4">
        <v>6</v>
      </c>
      <c r="DO38" s="4">
        <v>2</v>
      </c>
      <c r="DP38" s="4">
        <v>3</v>
      </c>
      <c r="DQ38" s="4">
        <v>7</v>
      </c>
      <c r="DR38" s="20" t="s">
        <v>714</v>
      </c>
      <c r="DS38" s="5">
        <v>70000</v>
      </c>
      <c r="DT38" s="271"/>
    </row>
    <row r="39" spans="2:124" ht="18" customHeight="1" thickBot="1">
      <c r="B39" s="185"/>
      <c r="C39" s="138"/>
      <c r="D39" s="195">
        <f t="shared" si="47"/>
      </c>
      <c r="E39" s="43">
        <f>IF(BH39&lt;=1,"",VLOOKUP(BH39,DV:DW,2,FALSE))</f>
      </c>
      <c r="F39" s="44">
        <f>IF(E39&lt;&gt;"",VLOOKUP(E39,$DM:$DS,2,FALSE),"")</f>
      </c>
      <c r="G39" s="44">
        <f>IF(E39&lt;&gt;"",VLOOKUP(E39,$DM:$DS,3,FALSE),"")</f>
      </c>
      <c r="H39" s="44">
        <f>IF(E39&lt;&gt;"",VLOOKUP(E39,$DM:$DS,4,FALSE),"")</f>
      </c>
      <c r="I39" s="44">
        <f>IF(E39&lt;&gt;"",VLOOKUP(E39,$DM:$DS,5,FALSE),"")</f>
      </c>
      <c r="J39" s="45">
        <f>IF(E39="","",VLOOKUP(E39,DM:DS,6,FALSE))</f>
      </c>
      <c r="K39" s="46"/>
      <c r="L39" s="164"/>
      <c r="M39" s="117"/>
      <c r="N39" s="117"/>
      <c r="O39" s="117"/>
      <c r="P39" s="117"/>
      <c r="Q39" s="117"/>
      <c r="R39" s="117"/>
      <c r="S39" s="117"/>
      <c r="T39" s="117"/>
      <c r="U39" s="165" t="s">
        <v>589</v>
      </c>
      <c r="V39" s="166">
        <v>0</v>
      </c>
      <c r="W39" s="167" t="str">
        <f>IF(K35="Undead","",(IF(K35="Necromantic","",(IF(K35="Khemri","",(IF(K35="Nurgle","","x")))))))</f>
        <v>x</v>
      </c>
      <c r="X39" s="258">
        <v>150000</v>
      </c>
      <c r="Y39" s="258"/>
      <c r="Z39" s="258"/>
      <c r="AA39" s="258"/>
      <c r="AB39" s="168" t="str">
        <f>IF(K35="Undead","",(IF(K35="Necromantic","",(IF(K35="Khemri","",(IF(K35="Nurgle",""," gp")))))))</f>
        <v> gp</v>
      </c>
      <c r="AC39" s="259">
        <f t="shared" si="50"/>
        <v>0</v>
      </c>
      <c r="AD39" s="260"/>
      <c r="AE39" s="187"/>
      <c r="AW39" s="105">
        <f>IF(ISNUMBER(FIND("M",L5)),1,0)+IF(ISNUMBER(FIND("M",M5)),1,0)</f>
        <v>0</v>
      </c>
      <c r="AY39" s="105">
        <f>IF(ISNUMBER(FIND("M",BA39)),1,0)+IF(ISNUMBER(FIND("M",BB39)),1,0)+IF(ISNUMBER(FIND("M",BC39)),1,0)+IF(ISNUMBER(FIND("M",BD39)),1,0)+IF(ISNUMBER(FIND("M",BE39)),1,0)+IF(ISNUMBER(FIND("M",BF39)),1,0)</f>
        <v>0</v>
      </c>
      <c r="BA39" s="238">
        <f aca="true" t="shared" si="59" ref="BA39:BF39">IF(BA22="General","G",(IF(BA22="Agility","A",(IF(BA22="Passing","P",(IF(BA22="Strength","S",(IF(BA22="Mutation","M",(IF(BA22="Increase30",30,(IF(BA22="Increase40",40,(IF(BA22="Increase50",50,0)))))))))))))))</f>
        <v>0</v>
      </c>
      <c r="BB39" s="239">
        <f t="shared" si="59"/>
        <v>0</v>
      </c>
      <c r="BC39" s="239">
        <f t="shared" si="59"/>
        <v>0</v>
      </c>
      <c r="BD39" s="239">
        <f t="shared" si="59"/>
        <v>0</v>
      </c>
      <c r="BE39" s="239">
        <f t="shared" si="59"/>
        <v>0</v>
      </c>
      <c r="BF39" s="240">
        <f t="shared" si="59"/>
        <v>0</v>
      </c>
      <c r="BH39" s="16">
        <v>1</v>
      </c>
      <c r="BI39" s="12" t="e">
        <f>VLOOKUP(E39,$DM:$DS,2,FALSE)</f>
        <v>#N/A</v>
      </c>
      <c r="BJ39" s="12" t="e">
        <f>VLOOKUP(E39,$DM:$DS,3,FALSE)</f>
        <v>#N/A</v>
      </c>
      <c r="BK39" s="12" t="e">
        <f>VLOOKUP(E39,$DM:$DS,4,FALSE)</f>
        <v>#N/A</v>
      </c>
      <c r="BL39" s="12" t="e">
        <f>VLOOKUP(E39,$DM:$DS,5,FALSE)</f>
        <v>#N/A</v>
      </c>
      <c r="BM39" s="7" t="str">
        <f>(IF(E39&lt;&gt;"",VLOOKUP(E39,DM:DS,7,FALSE),"0"))</f>
        <v>0</v>
      </c>
      <c r="BN39" s="1"/>
      <c r="BO39" s="151">
        <v>37</v>
      </c>
      <c r="BP39" s="59" t="s">
        <v>10</v>
      </c>
      <c r="BQ39" s="60">
        <v>7</v>
      </c>
      <c r="BR39" s="60">
        <v>3</v>
      </c>
      <c r="BS39" s="60">
        <v>4</v>
      </c>
      <c r="BT39" s="60">
        <v>8</v>
      </c>
      <c r="BU39" s="61" t="s">
        <v>119</v>
      </c>
      <c r="BV39" s="62">
        <v>110000</v>
      </c>
      <c r="BW39" s="62" t="s">
        <v>69</v>
      </c>
      <c r="BX39" s="62" t="s">
        <v>72</v>
      </c>
      <c r="BY39" s="62">
        <v>2</v>
      </c>
      <c r="BZ39" s="292"/>
      <c r="CA39" s="6"/>
      <c r="CB39" s="7"/>
      <c r="CC39" s="5"/>
      <c r="CD39" s="5"/>
      <c r="CE39" s="5"/>
      <c r="CF39" s="5"/>
      <c r="DL39" s="151">
        <v>37</v>
      </c>
      <c r="DM39" s="3" t="s">
        <v>629</v>
      </c>
      <c r="DN39" s="4">
        <v>3</v>
      </c>
      <c r="DO39" s="4">
        <v>7</v>
      </c>
      <c r="DP39" s="4">
        <v>3</v>
      </c>
      <c r="DQ39" s="4">
        <v>7</v>
      </c>
      <c r="DR39" s="20" t="s">
        <v>715</v>
      </c>
      <c r="DS39" s="5">
        <v>100000</v>
      </c>
      <c r="DT39" s="271"/>
    </row>
    <row r="40" spans="2:124" ht="18" customHeight="1" thickBot="1">
      <c r="B40" s="185"/>
      <c r="C40" s="174"/>
      <c r="D40" s="196">
        <f t="shared" si="47"/>
      </c>
      <c r="E40" s="175">
        <f>IF(BH40&lt;=1,"",VLOOKUP(BH40,DV:DW,2,FALSE))</f>
      </c>
      <c r="F40" s="176">
        <f>IF(E40&lt;&gt;"",VLOOKUP(E40,$DM:$DS,2,FALSE),"")</f>
      </c>
      <c r="G40" s="176">
        <f>IF(E40&lt;&gt;"",VLOOKUP(E40,$DM:$DS,3,FALSE),"")</f>
      </c>
      <c r="H40" s="176">
        <f>IF(E40&lt;&gt;"",VLOOKUP(E40,$DM:$DS,4,FALSE),"")</f>
      </c>
      <c r="I40" s="176">
        <f>IF(E40&lt;&gt;"",VLOOKUP(E40,$DM:$DS,5,FALSE),"")</f>
      </c>
      <c r="J40" s="177">
        <f>IF(E40="","",VLOOKUP(E40,DM:DS,6,FALSE))</f>
      </c>
      <c r="K40" s="178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0" t="s">
        <v>744</v>
      </c>
      <c r="AC40" s="261">
        <f>SUM(AC33:AC39)+SUM(D33:D40)</f>
        <v>0</v>
      </c>
      <c r="AD40" s="262"/>
      <c r="AE40" s="187"/>
      <c r="AW40" s="105">
        <f aca="true" t="shared" si="60" ref="AW40:AW54">IF(ISNUMBER(FIND("M",L6)),1,0)+IF(ISNUMBER(FIND("M",M6)),1,0)</f>
        <v>0</v>
      </c>
      <c r="AY40" s="105">
        <f aca="true" t="shared" si="61" ref="AY40:AY54">IF(ISNUMBER(FIND("M",BA40)),1,0)+IF(ISNUMBER(FIND("M",BB40)),1,0)+IF(ISNUMBER(FIND("M",BC40)),1,0)+IF(ISNUMBER(FIND("M",BD40)),1,0)+IF(ISNUMBER(FIND("M",BE40)),1,0)+IF(ISNUMBER(FIND("M",BF40)),1,0)</f>
        <v>0</v>
      </c>
      <c r="BA40" s="241">
        <f aca="true" t="shared" si="62" ref="BA40:BF40">IF(BA23="General","G",(IF(BA23="Agility","A",(IF(BA23="Passing","P",(IF(BA23="Strength","S",(IF(BA23="Mutation","M",(IF(BA23="Increase30",30,(IF(BA23="Increase40",40,(IF(BA23="Increase50",50,0)))))))))))))))</f>
        <v>0</v>
      </c>
      <c r="BB40" s="242">
        <f t="shared" si="62"/>
        <v>0</v>
      </c>
      <c r="BC40" s="242">
        <f t="shared" si="62"/>
        <v>0</v>
      </c>
      <c r="BD40" s="242">
        <f t="shared" si="62"/>
        <v>0</v>
      </c>
      <c r="BE40" s="242">
        <f t="shared" si="62"/>
        <v>0</v>
      </c>
      <c r="BF40" s="243">
        <f t="shared" si="62"/>
        <v>0</v>
      </c>
      <c r="BH40" s="16">
        <v>1</v>
      </c>
      <c r="BI40" s="12" t="e">
        <f>VLOOKUP(E40,$DM:$DS,2,FALSE)</f>
        <v>#N/A</v>
      </c>
      <c r="BJ40" s="12" t="e">
        <f>VLOOKUP(E40,$DM:$DS,3,FALSE)</f>
        <v>#N/A</v>
      </c>
      <c r="BK40" s="12" t="e">
        <f>VLOOKUP(E40,$DM:$DS,4,FALSE)</f>
        <v>#N/A</v>
      </c>
      <c r="BL40" s="12" t="e">
        <f>VLOOKUP(E40,$DM:$DS,5,FALSE)</f>
        <v>#N/A</v>
      </c>
      <c r="BM40" s="7" t="str">
        <f>(IF(E40&lt;&gt;"",VLOOKUP(E40,DM:DS,7,FALSE),"0"))</f>
        <v>0</v>
      </c>
      <c r="BO40" s="151">
        <v>38</v>
      </c>
      <c r="BP40" s="55" t="s">
        <v>33</v>
      </c>
      <c r="BQ40" s="56">
        <v>6</v>
      </c>
      <c r="BR40" s="56">
        <v>2</v>
      </c>
      <c r="BS40" s="56">
        <v>3</v>
      </c>
      <c r="BT40" s="56">
        <v>7</v>
      </c>
      <c r="BU40" s="57" t="s">
        <v>126</v>
      </c>
      <c r="BV40" s="58">
        <v>40000</v>
      </c>
      <c r="BW40" s="58" t="s">
        <v>43</v>
      </c>
      <c r="BX40" s="58" t="s">
        <v>129</v>
      </c>
      <c r="BY40" s="58">
        <v>16</v>
      </c>
      <c r="BZ40" s="270" t="s">
        <v>33</v>
      </c>
      <c r="CA40" s="6"/>
      <c r="CB40" s="7"/>
      <c r="CC40" s="5"/>
      <c r="CD40" s="5"/>
      <c r="CE40" s="5"/>
      <c r="CF40" s="5"/>
      <c r="CG40" s="34">
        <f>IF(CH40="","",DV11+1)</f>
      </c>
      <c r="CH40" s="2"/>
      <c r="CI40" s="35"/>
      <c r="CJ40" s="5"/>
      <c r="CK40" s="6"/>
      <c r="CL40" s="3"/>
      <c r="CM40" s="3"/>
      <c r="CN40" s="3"/>
      <c r="CO40" s="147"/>
      <c r="CP40" s="148"/>
      <c r="CQ40" s="148"/>
      <c r="CR40" s="3"/>
      <c r="CS40" s="3"/>
      <c r="CT40" s="3"/>
      <c r="CU40" s="3"/>
      <c r="CV40" s="39"/>
      <c r="CW40" s="147"/>
      <c r="CX40" s="3"/>
      <c r="CY40" s="3"/>
      <c r="CZ40" s="39"/>
      <c r="DA40" s="3"/>
      <c r="DB40" s="3"/>
      <c r="DC40" s="3"/>
      <c r="DD40" s="3"/>
      <c r="DE40" s="3"/>
      <c r="DF40" s="3"/>
      <c r="DG40" s="39"/>
      <c r="DH40" s="3"/>
      <c r="DI40" s="3"/>
      <c r="DJ40" s="3"/>
      <c r="DL40" s="151">
        <v>38</v>
      </c>
      <c r="DM40" s="3" t="s">
        <v>630</v>
      </c>
      <c r="DN40" s="4">
        <v>7</v>
      </c>
      <c r="DO40" s="4">
        <v>2</v>
      </c>
      <c r="DP40" s="4">
        <v>3</v>
      </c>
      <c r="DQ40" s="4">
        <v>7</v>
      </c>
      <c r="DR40" s="20" t="s">
        <v>716</v>
      </c>
      <c r="DS40" s="5">
        <v>100000</v>
      </c>
      <c r="DT40" s="271"/>
    </row>
    <row r="41" spans="2:124" ht="9" customHeight="1" thickBot="1">
      <c r="B41" s="188"/>
      <c r="C41" s="189"/>
      <c r="D41" s="189"/>
      <c r="E41" s="190"/>
      <c r="F41" s="189"/>
      <c r="G41" s="189"/>
      <c r="H41" s="189"/>
      <c r="I41" s="189"/>
      <c r="J41" s="189"/>
      <c r="K41" s="189"/>
      <c r="L41" s="189"/>
      <c r="M41" s="189"/>
      <c r="N41" s="189"/>
      <c r="O41" s="191"/>
      <c r="P41" s="192"/>
      <c r="Q41" s="192"/>
      <c r="R41" s="192"/>
      <c r="S41" s="192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93"/>
      <c r="AW41" s="105">
        <f t="shared" si="60"/>
        <v>0</v>
      </c>
      <c r="AY41" s="105">
        <f t="shared" si="61"/>
        <v>0</v>
      </c>
      <c r="BA41" s="241">
        <f aca="true" t="shared" si="63" ref="BA41:BF41">IF(BA24="General","G",(IF(BA24="Agility","A",(IF(BA24="Passing","P",(IF(BA24="Strength","S",(IF(BA24="Mutation","M",(IF(BA24="Increase30",30,(IF(BA24="Increase40",40,(IF(BA24="Increase50",50,0)))))))))))))))</f>
        <v>0</v>
      </c>
      <c r="BB41" s="242">
        <f t="shared" si="63"/>
        <v>0</v>
      </c>
      <c r="BC41" s="242">
        <f t="shared" si="63"/>
        <v>0</v>
      </c>
      <c r="BD41" s="242">
        <f t="shared" si="63"/>
        <v>0</v>
      </c>
      <c r="BE41" s="242">
        <f t="shared" si="63"/>
        <v>0</v>
      </c>
      <c r="BF41" s="243">
        <f t="shared" si="63"/>
        <v>0</v>
      </c>
      <c r="BO41" s="151">
        <v>39</v>
      </c>
      <c r="BP41" s="3" t="s">
        <v>122</v>
      </c>
      <c r="BQ41" s="4">
        <v>6</v>
      </c>
      <c r="BR41" s="4">
        <v>2</v>
      </c>
      <c r="BS41" s="4">
        <v>3</v>
      </c>
      <c r="BT41" s="4">
        <v>7</v>
      </c>
      <c r="BU41" s="20" t="s">
        <v>393</v>
      </c>
      <c r="BV41" s="5">
        <v>40000</v>
      </c>
      <c r="BW41" s="5" t="s">
        <v>43</v>
      </c>
      <c r="BX41" s="5" t="s">
        <v>129</v>
      </c>
      <c r="BY41" s="5">
        <v>1</v>
      </c>
      <c r="BZ41" s="271"/>
      <c r="CA41" s="6"/>
      <c r="CB41" s="7"/>
      <c r="CC41" s="5"/>
      <c r="CD41" s="5"/>
      <c r="CE41" s="5"/>
      <c r="CF41" s="5"/>
      <c r="CG41" s="34">
        <f aca="true" t="shared" si="64" ref="CG41:CG50">IF(CH41="","",CG40+1)</f>
      </c>
      <c r="CH41" s="2"/>
      <c r="CI41" s="35"/>
      <c r="CJ41" s="5"/>
      <c r="CK41" s="6"/>
      <c r="CL41" s="3"/>
      <c r="CM41" s="147"/>
      <c r="CN41" s="3"/>
      <c r="CO41" s="3"/>
      <c r="CP41" s="39"/>
      <c r="CQ41" s="39"/>
      <c r="CR41" s="3"/>
      <c r="CS41" s="3"/>
      <c r="CT41" s="3"/>
      <c r="CU41" s="64"/>
      <c r="CV41" s="3"/>
      <c r="CW41" s="3"/>
      <c r="CX41" s="3"/>
      <c r="CY41" s="3"/>
      <c r="CZ41" s="3"/>
      <c r="DA41" s="39"/>
      <c r="DB41" s="3"/>
      <c r="DC41" s="3"/>
      <c r="DD41" s="3"/>
      <c r="DE41" s="3"/>
      <c r="DF41" s="3"/>
      <c r="DG41" s="3"/>
      <c r="DH41" s="3"/>
      <c r="DI41" s="3"/>
      <c r="DJ41" s="3"/>
      <c r="DL41" s="151">
        <v>39</v>
      </c>
      <c r="DM41" s="59" t="s">
        <v>631</v>
      </c>
      <c r="DN41" s="60">
        <v>4</v>
      </c>
      <c r="DO41" s="60">
        <v>5</v>
      </c>
      <c r="DP41" s="60">
        <v>1</v>
      </c>
      <c r="DQ41" s="60">
        <v>9</v>
      </c>
      <c r="DR41" s="61" t="s">
        <v>128</v>
      </c>
      <c r="DS41" s="62">
        <v>140000</v>
      </c>
      <c r="DT41" s="272"/>
    </row>
    <row r="42" spans="49:124" ht="9" customHeight="1">
      <c r="AW42" s="105">
        <f t="shared" si="60"/>
        <v>0</v>
      </c>
      <c r="AY42" s="105">
        <f t="shared" si="61"/>
        <v>0</v>
      </c>
      <c r="BA42" s="241">
        <f aca="true" t="shared" si="65" ref="BA42:BF42">IF(BA25="General","G",(IF(BA25="Agility","A",(IF(BA25="Passing","P",(IF(BA25="Strength","S",(IF(BA25="Mutation","M",(IF(BA25="Increase30",30,(IF(BA25="Increase40",40,(IF(BA25="Increase50",50,0)))))))))))))))</f>
        <v>0</v>
      </c>
      <c r="BB42" s="242">
        <f t="shared" si="65"/>
        <v>0</v>
      </c>
      <c r="BC42" s="242">
        <f t="shared" si="65"/>
        <v>0</v>
      </c>
      <c r="BD42" s="242">
        <f t="shared" si="65"/>
        <v>0</v>
      </c>
      <c r="BE42" s="242">
        <f t="shared" si="65"/>
        <v>0</v>
      </c>
      <c r="BF42" s="243">
        <f t="shared" si="65"/>
        <v>0</v>
      </c>
      <c r="BN42" s="41"/>
      <c r="BO42" s="151">
        <v>40</v>
      </c>
      <c r="BP42" s="3" t="s">
        <v>124</v>
      </c>
      <c r="BQ42" s="4">
        <v>6</v>
      </c>
      <c r="BR42" s="4">
        <v>2</v>
      </c>
      <c r="BS42" s="4">
        <v>3</v>
      </c>
      <c r="BT42" s="4">
        <v>7</v>
      </c>
      <c r="BU42" s="20" t="s">
        <v>394</v>
      </c>
      <c r="BV42" s="5">
        <v>40000</v>
      </c>
      <c r="BW42" s="5" t="s">
        <v>43</v>
      </c>
      <c r="BX42" s="5" t="s">
        <v>129</v>
      </c>
      <c r="BY42" s="5">
        <v>1</v>
      </c>
      <c r="BZ42" s="271"/>
      <c r="CA42" s="6"/>
      <c r="CB42" s="7"/>
      <c r="CC42" s="5"/>
      <c r="CD42" s="5"/>
      <c r="CE42" s="5"/>
      <c r="CF42" s="5"/>
      <c r="CG42" s="34">
        <f t="shared" si="64"/>
      </c>
      <c r="CH42" s="2"/>
      <c r="CI42" s="35"/>
      <c r="CJ42" s="5"/>
      <c r="CK42" s="6"/>
      <c r="CL42" s="3"/>
      <c r="CM42" s="3"/>
      <c r="CN42" s="3"/>
      <c r="CO42" s="3"/>
      <c r="CP42" s="3"/>
      <c r="CQ42" s="3"/>
      <c r="CR42" s="3"/>
      <c r="CS42" s="39"/>
      <c r="CT42" s="3"/>
      <c r="CU42" s="14"/>
      <c r="CV42" s="3"/>
      <c r="CW42" s="3"/>
      <c r="CX42" s="3"/>
      <c r="CY42" s="3"/>
      <c r="CZ42" s="3"/>
      <c r="DA42" s="3"/>
      <c r="DB42" s="147"/>
      <c r="DC42" s="3"/>
      <c r="DD42" s="3"/>
      <c r="DE42" s="3"/>
      <c r="DF42" s="3"/>
      <c r="DG42" s="3"/>
      <c r="DH42" s="3"/>
      <c r="DI42" s="14"/>
      <c r="DJ42" s="3"/>
      <c r="DL42" s="151">
        <v>40</v>
      </c>
      <c r="DM42" s="63" t="s">
        <v>632</v>
      </c>
      <c r="DN42" s="56">
        <v>5</v>
      </c>
      <c r="DO42" s="56">
        <v>2</v>
      </c>
      <c r="DP42" s="56">
        <v>3</v>
      </c>
      <c r="DQ42" s="56">
        <v>6</v>
      </c>
      <c r="DR42" s="57" t="s">
        <v>285</v>
      </c>
      <c r="DS42" s="58">
        <v>60000</v>
      </c>
      <c r="DT42" s="290" t="s">
        <v>35</v>
      </c>
    </row>
    <row r="43" spans="33:124" ht="15" customHeight="1" hidden="1">
      <c r="AG43" s="201">
        <v>1</v>
      </c>
      <c r="AH43" s="202"/>
      <c r="AW43" s="105">
        <f t="shared" si="60"/>
        <v>0</v>
      </c>
      <c r="AY43" s="105">
        <f t="shared" si="61"/>
        <v>0</v>
      </c>
      <c r="BA43" s="241">
        <f aca="true" t="shared" si="66" ref="BA43:BF43">IF(BA26="General","G",(IF(BA26="Agility","A",(IF(BA26="Passing","P",(IF(BA26="Strength","S",(IF(BA26="Mutation","M",(IF(BA26="Increase30",30,(IF(BA26="Increase40",40,(IF(BA26="Increase50",50,0)))))))))))))))</f>
        <v>0</v>
      </c>
      <c r="BB43" s="242">
        <f t="shared" si="66"/>
        <v>0</v>
      </c>
      <c r="BC43" s="242">
        <f t="shared" si="66"/>
        <v>0</v>
      </c>
      <c r="BD43" s="242">
        <f t="shared" si="66"/>
        <v>0</v>
      </c>
      <c r="BE43" s="242">
        <f t="shared" si="66"/>
        <v>0</v>
      </c>
      <c r="BF43" s="243">
        <f t="shared" si="66"/>
        <v>0</v>
      </c>
      <c r="BH43" s="41" t="s">
        <v>221</v>
      </c>
      <c r="BI43" s="41" t="s">
        <v>222</v>
      </c>
      <c r="BJ43" s="41" t="s">
        <v>223</v>
      </c>
      <c r="BK43" s="41" t="s">
        <v>224</v>
      </c>
      <c r="BL43" s="41" t="s">
        <v>225</v>
      </c>
      <c r="BM43" s="41" t="s">
        <v>391</v>
      </c>
      <c r="BN43" s="42"/>
      <c r="BO43" s="151">
        <v>41</v>
      </c>
      <c r="BP43" s="3" t="s">
        <v>125</v>
      </c>
      <c r="BQ43" s="4">
        <v>3</v>
      </c>
      <c r="BR43" s="4">
        <v>7</v>
      </c>
      <c r="BS43" s="4">
        <v>3</v>
      </c>
      <c r="BT43" s="4">
        <v>7</v>
      </c>
      <c r="BU43" s="20" t="s">
        <v>127</v>
      </c>
      <c r="BV43" s="5">
        <v>70000</v>
      </c>
      <c r="BW43" s="5" t="s">
        <v>92</v>
      </c>
      <c r="BX43" s="5" t="s">
        <v>29</v>
      </c>
      <c r="BY43" s="5">
        <v>1</v>
      </c>
      <c r="BZ43" s="271"/>
      <c r="CA43" s="6"/>
      <c r="CB43" s="7"/>
      <c r="CC43" s="5"/>
      <c r="CD43" s="5"/>
      <c r="CE43" s="5"/>
      <c r="CF43" s="5"/>
      <c r="CG43" s="34">
        <f t="shared" si="64"/>
      </c>
      <c r="CH43" s="2"/>
      <c r="CI43" s="35"/>
      <c r="CJ43" s="5"/>
      <c r="CK43" s="6"/>
      <c r="CL43" s="64"/>
      <c r="CM43" s="64"/>
      <c r="CN43" s="64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14"/>
      <c r="CZ43" s="3"/>
      <c r="DA43" s="3"/>
      <c r="DB43" s="3"/>
      <c r="DC43" s="14"/>
      <c r="DD43" s="3"/>
      <c r="DE43" s="3"/>
      <c r="DF43" s="3"/>
      <c r="DG43" s="3"/>
      <c r="DH43" s="3"/>
      <c r="DI43" s="14"/>
      <c r="DJ43" s="3"/>
      <c r="DL43" s="151">
        <v>41</v>
      </c>
      <c r="DM43" s="59" t="s">
        <v>633</v>
      </c>
      <c r="DN43" s="60">
        <v>2</v>
      </c>
      <c r="DO43" s="60">
        <v>6</v>
      </c>
      <c r="DP43" s="60">
        <v>1</v>
      </c>
      <c r="DQ43" s="60">
        <v>10</v>
      </c>
      <c r="DR43" s="61" t="s">
        <v>717</v>
      </c>
      <c r="DS43" s="62">
        <v>150000</v>
      </c>
      <c r="DT43" s="292"/>
    </row>
    <row r="44" spans="33:124" ht="15" customHeight="1" hidden="1">
      <c r="AG44" s="201">
        <v>2</v>
      </c>
      <c r="AH44" s="203" t="s">
        <v>810</v>
      </c>
      <c r="AW44" s="105">
        <f t="shared" si="60"/>
        <v>0</v>
      </c>
      <c r="AY44" s="105">
        <f t="shared" si="61"/>
        <v>0</v>
      </c>
      <c r="BA44" s="241">
        <f aca="true" t="shared" si="67" ref="BA44:BF44">IF(BA27="General","G",(IF(BA27="Agility","A",(IF(BA27="Passing","P",(IF(BA27="Strength","S",(IF(BA27="Mutation","M",(IF(BA27="Increase30",30,(IF(BA27="Increase40",40,(IF(BA27="Increase50",50,0)))))))))))))))</f>
        <v>0</v>
      </c>
      <c r="BB44" s="242">
        <f t="shared" si="67"/>
        <v>0</v>
      </c>
      <c r="BC44" s="242">
        <f t="shared" si="67"/>
        <v>0</v>
      </c>
      <c r="BD44" s="242">
        <f t="shared" si="67"/>
        <v>0</v>
      </c>
      <c r="BE44" s="242">
        <f t="shared" si="67"/>
        <v>0</v>
      </c>
      <c r="BF44" s="243">
        <f t="shared" si="67"/>
        <v>0</v>
      </c>
      <c r="BH44" s="42" t="s">
        <v>226</v>
      </c>
      <c r="BI44" s="42" t="s">
        <v>240</v>
      </c>
      <c r="BJ44" s="42" t="s">
        <v>250</v>
      </c>
      <c r="BK44" s="42" t="s">
        <v>265</v>
      </c>
      <c r="BL44" s="42" t="s">
        <v>269</v>
      </c>
      <c r="BM44" s="42" t="s">
        <v>338</v>
      </c>
      <c r="BN44" s="42"/>
      <c r="BO44" s="151">
        <v>42</v>
      </c>
      <c r="BP44" s="3" t="s">
        <v>123</v>
      </c>
      <c r="BQ44" s="4">
        <v>7</v>
      </c>
      <c r="BR44" s="4">
        <v>2</v>
      </c>
      <c r="BS44" s="4">
        <v>3</v>
      </c>
      <c r="BT44" s="4">
        <v>7</v>
      </c>
      <c r="BU44" s="20" t="s">
        <v>395</v>
      </c>
      <c r="BV44" s="5">
        <v>70000</v>
      </c>
      <c r="BW44" s="5" t="s">
        <v>43</v>
      </c>
      <c r="BX44" s="5" t="s">
        <v>129</v>
      </c>
      <c r="BY44" s="5">
        <v>1</v>
      </c>
      <c r="BZ44" s="271"/>
      <c r="CA44" s="6"/>
      <c r="CB44" s="7"/>
      <c r="CC44" s="5"/>
      <c r="CD44" s="5"/>
      <c r="CE44" s="5"/>
      <c r="CF44" s="5"/>
      <c r="CG44" s="34">
        <f t="shared" si="64"/>
      </c>
      <c r="CH44" s="2"/>
      <c r="CI44" s="35"/>
      <c r="CJ44" s="5"/>
      <c r="CK44" s="6"/>
      <c r="CL44" s="14"/>
      <c r="CM44" s="14"/>
      <c r="CN44" s="14"/>
      <c r="CO44" s="3"/>
      <c r="CP44" s="3"/>
      <c r="CQ44" s="3"/>
      <c r="CR44" s="64"/>
      <c r="CS44" s="14"/>
      <c r="CT44" s="3"/>
      <c r="CU44" s="3"/>
      <c r="CV44" s="14"/>
      <c r="CW44" s="3"/>
      <c r="CX44"/>
      <c r="CY44" s="3"/>
      <c r="CZ44" s="3"/>
      <c r="DA44" s="3"/>
      <c r="DB44" s="3"/>
      <c r="DC44"/>
      <c r="DD44" s="3"/>
      <c r="DE44" s="3"/>
      <c r="DF44" s="3"/>
      <c r="DG44" s="3"/>
      <c r="DH44" s="3"/>
      <c r="DI44"/>
      <c r="DJ44" s="3"/>
      <c r="DL44" s="151">
        <v>42</v>
      </c>
      <c r="DM44" s="55" t="s">
        <v>634</v>
      </c>
      <c r="DN44" s="56">
        <v>6</v>
      </c>
      <c r="DO44" s="56">
        <v>3</v>
      </c>
      <c r="DP44" s="56">
        <v>4</v>
      </c>
      <c r="DQ44" s="56">
        <v>8</v>
      </c>
      <c r="DR44" s="57" t="s">
        <v>491</v>
      </c>
      <c r="DS44" s="58">
        <v>100000</v>
      </c>
      <c r="DT44" s="270" t="s">
        <v>135</v>
      </c>
    </row>
    <row r="45" spans="33:124" ht="15" customHeight="1" hidden="1">
      <c r="AG45" s="201">
        <v>3</v>
      </c>
      <c r="AH45" s="42" t="s">
        <v>94</v>
      </c>
      <c r="AI45" s="41" t="s">
        <v>761</v>
      </c>
      <c r="AW45" s="105">
        <f t="shared" si="60"/>
        <v>0</v>
      </c>
      <c r="AY45" s="105">
        <f t="shared" si="61"/>
        <v>0</v>
      </c>
      <c r="BA45" s="241">
        <f aca="true" t="shared" si="68" ref="BA45:BF45">IF(BA28="General","G",(IF(BA28="Agility","A",(IF(BA28="Passing","P",(IF(BA28="Strength","S",(IF(BA28="Mutation","M",(IF(BA28="Increase30",30,(IF(BA28="Increase40",40,(IF(BA28="Increase50",50,0)))))))))))))))</f>
        <v>0</v>
      </c>
      <c r="BB45" s="242">
        <f t="shared" si="68"/>
        <v>0</v>
      </c>
      <c r="BC45" s="242">
        <f t="shared" si="68"/>
        <v>0</v>
      </c>
      <c r="BD45" s="242">
        <f t="shared" si="68"/>
        <v>0</v>
      </c>
      <c r="BE45" s="242">
        <f t="shared" si="68"/>
        <v>0</v>
      </c>
      <c r="BF45" s="243">
        <f t="shared" si="68"/>
        <v>0</v>
      </c>
      <c r="BH45" s="42" t="s">
        <v>227</v>
      </c>
      <c r="BI45" s="42" t="s">
        <v>241</v>
      </c>
      <c r="BJ45" s="42" t="s">
        <v>253</v>
      </c>
      <c r="BK45" s="42" t="s">
        <v>262</v>
      </c>
      <c r="BL45" s="42" t="s">
        <v>274</v>
      </c>
      <c r="BM45" s="42" t="s">
        <v>370</v>
      </c>
      <c r="BN45" s="42"/>
      <c r="BO45" s="151">
        <v>43</v>
      </c>
      <c r="BP45" s="59" t="s">
        <v>22</v>
      </c>
      <c r="BQ45" s="60">
        <v>4</v>
      </c>
      <c r="BR45" s="60">
        <v>5</v>
      </c>
      <c r="BS45" s="60">
        <v>1</v>
      </c>
      <c r="BT45" s="60">
        <v>9</v>
      </c>
      <c r="BU45" s="61" t="s">
        <v>128</v>
      </c>
      <c r="BV45" s="62">
        <v>110000</v>
      </c>
      <c r="BW45" s="62" t="s">
        <v>92</v>
      </c>
      <c r="BX45" s="62" t="s">
        <v>29</v>
      </c>
      <c r="BY45" s="62">
        <v>2</v>
      </c>
      <c r="BZ45" s="272"/>
      <c r="CA45" s="6"/>
      <c r="CB45" s="7"/>
      <c r="CC45" s="5"/>
      <c r="CD45" s="5"/>
      <c r="CE45" s="5"/>
      <c r="CF45" s="5"/>
      <c r="CG45" s="34">
        <f t="shared" si="64"/>
      </c>
      <c r="CH45" s="2">
        <f aca="true" t="shared" si="69" ref="CH45:CH50">IF(CI45=0,"",CI45)</f>
      </c>
      <c r="CI45" s="35"/>
      <c r="CJ45" s="5"/>
      <c r="CK45" s="6"/>
      <c r="CL45" s="14"/>
      <c r="CM45" s="3"/>
      <c r="CN45"/>
      <c r="CO45" s="3"/>
      <c r="CP45" s="14"/>
      <c r="CQ45" s="14"/>
      <c r="CR45" s="14"/>
      <c r="CS45" s="14"/>
      <c r="CT45" s="3"/>
      <c r="CU45" s="3"/>
      <c r="CV45" s="14"/>
      <c r="CW45" s="14"/>
      <c r="CX45" s="3"/>
      <c r="CY45" s="3"/>
      <c r="CZ45" s="14"/>
      <c r="DA45" s="64"/>
      <c r="DB45" s="14"/>
      <c r="DC45"/>
      <c r="DD45" s="3"/>
      <c r="DE45" s="14"/>
      <c r="DF45" s="3"/>
      <c r="DG45" s="3"/>
      <c r="DH45"/>
      <c r="DI45" s="3"/>
      <c r="DJ45" s="14"/>
      <c r="DL45" s="151">
        <v>43</v>
      </c>
      <c r="DM45" s="3" t="s">
        <v>635</v>
      </c>
      <c r="DN45" s="4">
        <v>6</v>
      </c>
      <c r="DO45" s="4">
        <v>3</v>
      </c>
      <c r="DP45" s="4">
        <v>4</v>
      </c>
      <c r="DQ45" s="4">
        <v>8</v>
      </c>
      <c r="DR45" s="20" t="s">
        <v>718</v>
      </c>
      <c r="DS45" s="5">
        <v>120000</v>
      </c>
      <c r="DT45" s="271"/>
    </row>
    <row r="46" spans="33:124" ht="15" customHeight="1" hidden="1">
      <c r="AG46" s="201">
        <v>4</v>
      </c>
      <c r="AH46" s="42" t="s">
        <v>762</v>
      </c>
      <c r="AI46" s="41" t="s">
        <v>761</v>
      </c>
      <c r="AW46" s="105">
        <f t="shared" si="60"/>
        <v>0</v>
      </c>
      <c r="AY46" s="105">
        <f t="shared" si="61"/>
        <v>0</v>
      </c>
      <c r="BA46" s="241">
        <f aca="true" t="shared" si="70" ref="BA46:BF46">IF(BA29="General","G",(IF(BA29="Agility","A",(IF(BA29="Passing","P",(IF(BA29="Strength","S",(IF(BA29="Mutation","M",(IF(BA29="Increase30",30,(IF(BA29="Increase40",40,(IF(BA29="Increase50",50,0)))))))))))))))</f>
        <v>0</v>
      </c>
      <c r="BB46" s="242">
        <f t="shared" si="70"/>
        <v>0</v>
      </c>
      <c r="BC46" s="242">
        <f t="shared" si="70"/>
        <v>0</v>
      </c>
      <c r="BD46" s="242">
        <f t="shared" si="70"/>
        <v>0</v>
      </c>
      <c r="BE46" s="242">
        <f t="shared" si="70"/>
        <v>0</v>
      </c>
      <c r="BF46" s="243">
        <f t="shared" si="70"/>
        <v>0</v>
      </c>
      <c r="BH46" s="42" t="s">
        <v>228</v>
      </c>
      <c r="BI46" s="42" t="s">
        <v>242</v>
      </c>
      <c r="BJ46" s="42" t="s">
        <v>251</v>
      </c>
      <c r="BK46" s="42" t="s">
        <v>260</v>
      </c>
      <c r="BL46" s="42" t="s">
        <v>268</v>
      </c>
      <c r="BM46" s="42" t="s">
        <v>339</v>
      </c>
      <c r="BN46" s="42"/>
      <c r="BO46" s="151">
        <v>44</v>
      </c>
      <c r="BP46" s="63" t="s">
        <v>35</v>
      </c>
      <c r="BQ46" s="56">
        <v>5</v>
      </c>
      <c r="BR46" s="56">
        <v>2</v>
      </c>
      <c r="BS46" s="56">
        <v>3</v>
      </c>
      <c r="BT46" s="56">
        <v>6</v>
      </c>
      <c r="BU46" s="57" t="s">
        <v>126</v>
      </c>
      <c r="BV46" s="58">
        <v>30000</v>
      </c>
      <c r="BW46" s="58" t="s">
        <v>43</v>
      </c>
      <c r="BX46" s="58" t="s">
        <v>129</v>
      </c>
      <c r="BY46" s="58">
        <v>16</v>
      </c>
      <c r="BZ46" s="290" t="s">
        <v>35</v>
      </c>
      <c r="CA46" s="22"/>
      <c r="CB46" s="7"/>
      <c r="CC46" s="5"/>
      <c r="CD46" s="5"/>
      <c r="CE46" s="5"/>
      <c r="CF46" s="18"/>
      <c r="CG46" s="34">
        <f t="shared" si="64"/>
      </c>
      <c r="CH46" s="2">
        <f t="shared" si="69"/>
      </c>
      <c r="CI46" s="35"/>
      <c r="CJ46" s="5"/>
      <c r="CK46" s="6"/>
      <c r="CM46" s="3"/>
      <c r="CN46"/>
      <c r="CO46" s="3"/>
      <c r="CP46" s="3"/>
      <c r="CQ46" s="3"/>
      <c r="CR46" s="14"/>
      <c r="CS46" s="14"/>
      <c r="CT46" s="14"/>
      <c r="CU46" s="3"/>
      <c r="CV46" s="14"/>
      <c r="CW46" s="14"/>
      <c r="CX46" s="3"/>
      <c r="CY46" s="3"/>
      <c r="CZ46" s="14"/>
      <c r="DA46" s="14"/>
      <c r="DB46" s="3"/>
      <c r="DC46" s="3"/>
      <c r="DD46" s="14"/>
      <c r="DE46" s="14"/>
      <c r="DF46" s="3"/>
      <c r="DG46" s="14"/>
      <c r="DH46"/>
      <c r="DI46" s="3"/>
      <c r="DJ46" s="14"/>
      <c r="DL46" s="151">
        <v>44</v>
      </c>
      <c r="DM46" s="3" t="s">
        <v>636</v>
      </c>
      <c r="DN46" s="4">
        <v>8</v>
      </c>
      <c r="DO46" s="4">
        <v>3</v>
      </c>
      <c r="DP46" s="4">
        <v>4</v>
      </c>
      <c r="DQ46" s="4">
        <v>7</v>
      </c>
      <c r="DR46" s="20" t="s">
        <v>719</v>
      </c>
      <c r="DS46" s="5">
        <v>120000</v>
      </c>
      <c r="DT46" s="271"/>
    </row>
    <row r="47" spans="33:124" ht="15" customHeight="1" hidden="1">
      <c r="AG47" s="201">
        <v>5</v>
      </c>
      <c r="AH47" s="42" t="s">
        <v>763</v>
      </c>
      <c r="AI47" s="41" t="s">
        <v>761</v>
      </c>
      <c r="AW47" s="105">
        <f t="shared" si="60"/>
        <v>0</v>
      </c>
      <c r="AY47" s="105">
        <f t="shared" si="61"/>
        <v>0</v>
      </c>
      <c r="BA47" s="241">
        <f aca="true" t="shared" si="71" ref="BA47:BF47">IF(BA30="General","G",(IF(BA30="Agility","A",(IF(BA30="Passing","P",(IF(BA30="Strength","S",(IF(BA30="Mutation","M",(IF(BA30="Increase30",30,(IF(BA30="Increase40",40,(IF(BA30="Increase50",50,0)))))))))))))))</f>
        <v>0</v>
      </c>
      <c r="BB47" s="242">
        <f t="shared" si="71"/>
        <v>0</v>
      </c>
      <c r="BC47" s="242">
        <f t="shared" si="71"/>
        <v>0</v>
      </c>
      <c r="BD47" s="242">
        <f t="shared" si="71"/>
        <v>0</v>
      </c>
      <c r="BE47" s="242">
        <f t="shared" si="71"/>
        <v>0</v>
      </c>
      <c r="BF47" s="243">
        <f t="shared" si="71"/>
        <v>0</v>
      </c>
      <c r="BH47" s="42" t="s">
        <v>229</v>
      </c>
      <c r="BI47" s="42" t="s">
        <v>243</v>
      </c>
      <c r="BJ47" s="42" t="s">
        <v>256</v>
      </c>
      <c r="BK47" s="42" t="s">
        <v>264</v>
      </c>
      <c r="BL47" s="42" t="s">
        <v>275</v>
      </c>
      <c r="BM47" s="42" t="s">
        <v>340</v>
      </c>
      <c r="BN47" s="42"/>
      <c r="BO47" s="151">
        <v>45</v>
      </c>
      <c r="BP47" s="59" t="s">
        <v>130</v>
      </c>
      <c r="BQ47" s="60">
        <v>2</v>
      </c>
      <c r="BR47" s="60">
        <v>6</v>
      </c>
      <c r="BS47" s="60">
        <v>1</v>
      </c>
      <c r="BT47" s="60">
        <v>10</v>
      </c>
      <c r="BU47" s="61" t="s">
        <v>396</v>
      </c>
      <c r="BV47" s="62">
        <v>120000</v>
      </c>
      <c r="BW47" s="62" t="s">
        <v>92</v>
      </c>
      <c r="BX47" s="62" t="s">
        <v>29</v>
      </c>
      <c r="BY47" s="62">
        <v>2</v>
      </c>
      <c r="BZ47" s="292"/>
      <c r="CA47" s="22"/>
      <c r="CB47" s="7"/>
      <c r="CC47" s="5"/>
      <c r="CD47" s="5"/>
      <c r="CE47" s="5"/>
      <c r="CF47" s="18"/>
      <c r="CG47" s="34">
        <f t="shared" si="64"/>
      </c>
      <c r="CH47" s="2">
        <f t="shared" si="69"/>
      </c>
      <c r="CI47" s="35"/>
      <c r="CJ47" s="5"/>
      <c r="CK47" s="6"/>
      <c r="CM47" s="3"/>
      <c r="CN47" s="9"/>
      <c r="CO47"/>
      <c r="CP47" s="3"/>
      <c r="CQ47" s="3"/>
      <c r="CR47" s="14"/>
      <c r="CS47" s="14"/>
      <c r="CT47" s="14"/>
      <c r="CU47" s="8"/>
      <c r="CV47" s="14"/>
      <c r="CW47" s="14"/>
      <c r="CX47" s="3"/>
      <c r="CY47" s="3"/>
      <c r="CZ47"/>
      <c r="DA47" s="14"/>
      <c r="DB47" s="3"/>
      <c r="DC47" s="3"/>
      <c r="DD47" s="14"/>
      <c r="DE47" s="14"/>
      <c r="DF47" s="3"/>
      <c r="DG47" s="14"/>
      <c r="DH47"/>
      <c r="DI47" s="3"/>
      <c r="DJ47" s="14"/>
      <c r="DL47" s="151">
        <v>45</v>
      </c>
      <c r="DM47" s="59" t="s">
        <v>637</v>
      </c>
      <c r="DN47" s="60">
        <v>7</v>
      </c>
      <c r="DO47" s="60">
        <v>3</v>
      </c>
      <c r="DP47" s="60">
        <v>4</v>
      </c>
      <c r="DQ47" s="60">
        <v>8</v>
      </c>
      <c r="DR47" s="61" t="s">
        <v>508</v>
      </c>
      <c r="DS47" s="62">
        <v>130000</v>
      </c>
      <c r="DT47" s="272"/>
    </row>
    <row r="48" spans="33:124" ht="15" customHeight="1" hidden="1">
      <c r="AG48" s="201">
        <v>6</v>
      </c>
      <c r="AH48" s="42" t="s">
        <v>764</v>
      </c>
      <c r="AI48" s="41" t="s">
        <v>761</v>
      </c>
      <c r="AW48" s="105">
        <f t="shared" si="60"/>
        <v>0</v>
      </c>
      <c r="AY48" s="105">
        <f t="shared" si="61"/>
        <v>0</v>
      </c>
      <c r="BA48" s="241">
        <f aca="true" t="shared" si="72" ref="BA48:BF48">IF(BA31="General","G",(IF(BA31="Agility","A",(IF(BA31="Passing","P",(IF(BA31="Strength","S",(IF(BA31="Mutation","M",(IF(BA31="Increase30",30,(IF(BA31="Increase40",40,(IF(BA31="Increase50",50,0)))))))))))))))</f>
        <v>0</v>
      </c>
      <c r="BB48" s="242">
        <f t="shared" si="72"/>
        <v>0</v>
      </c>
      <c r="BC48" s="242">
        <f t="shared" si="72"/>
        <v>0</v>
      </c>
      <c r="BD48" s="242">
        <f t="shared" si="72"/>
        <v>0</v>
      </c>
      <c r="BE48" s="242">
        <f t="shared" si="72"/>
        <v>0</v>
      </c>
      <c r="BF48" s="243">
        <f t="shared" si="72"/>
        <v>0</v>
      </c>
      <c r="BH48" s="42" t="s">
        <v>230</v>
      </c>
      <c r="BI48" s="42" t="s">
        <v>244</v>
      </c>
      <c r="BJ48" s="42" t="s">
        <v>254</v>
      </c>
      <c r="BK48" s="42" t="s">
        <v>259</v>
      </c>
      <c r="BL48" s="42" t="s">
        <v>276</v>
      </c>
      <c r="BM48" s="42" t="s">
        <v>341</v>
      </c>
      <c r="BN48" s="42"/>
      <c r="BO48" s="151">
        <v>46</v>
      </c>
      <c r="BP48" s="55" t="s">
        <v>131</v>
      </c>
      <c r="BQ48" s="56">
        <v>6</v>
      </c>
      <c r="BR48" s="56">
        <v>3</v>
      </c>
      <c r="BS48" s="56">
        <v>4</v>
      </c>
      <c r="BT48" s="56">
        <v>8</v>
      </c>
      <c r="BU48" s="57"/>
      <c r="BV48" s="58">
        <v>70000</v>
      </c>
      <c r="BW48" s="58" t="s">
        <v>69</v>
      </c>
      <c r="BX48" s="58" t="s">
        <v>72</v>
      </c>
      <c r="BY48" s="58">
        <v>16</v>
      </c>
      <c r="BZ48" s="270" t="s">
        <v>135</v>
      </c>
      <c r="CA48" s="22"/>
      <c r="CB48" s="7"/>
      <c r="CC48" s="5"/>
      <c r="CD48" s="5"/>
      <c r="CE48" s="5"/>
      <c r="CF48" s="18"/>
      <c r="CG48" s="34">
        <f t="shared" si="64"/>
      </c>
      <c r="CH48" s="2">
        <f t="shared" si="69"/>
      </c>
      <c r="CI48" s="35"/>
      <c r="CJ48" s="5"/>
      <c r="CK48" s="6"/>
      <c r="CL48" s="14"/>
      <c r="CM48" s="8"/>
      <c r="CN48" s="9"/>
      <c r="CO48"/>
      <c r="CP48" s="8"/>
      <c r="CQ48" s="8"/>
      <c r="CR48" s="14"/>
      <c r="CS48" s="14"/>
      <c r="CT48" s="8"/>
      <c r="CU48" s="8"/>
      <c r="CV48" s="8"/>
      <c r="CW48" s="14"/>
      <c r="CX48" s="3"/>
      <c r="CY48" s="3"/>
      <c r="CZ48" s="9"/>
      <c r="DA48" s="9"/>
      <c r="DB48" s="9"/>
      <c r="DC48" s="3"/>
      <c r="DD48" s="14"/>
      <c r="DE48" s="14"/>
      <c r="DF48" s="3"/>
      <c r="DG48" s="8"/>
      <c r="DH48"/>
      <c r="DI48" s="33"/>
      <c r="DJ48" s="14"/>
      <c r="DL48" s="151">
        <v>46</v>
      </c>
      <c r="DM48" s="55" t="s">
        <v>638</v>
      </c>
      <c r="DN48" s="65">
        <v>6</v>
      </c>
      <c r="DO48" s="65">
        <v>3</v>
      </c>
      <c r="DP48" s="65">
        <v>3</v>
      </c>
      <c r="DQ48" s="65">
        <v>8</v>
      </c>
      <c r="DR48" s="57" t="s">
        <v>491</v>
      </c>
      <c r="DS48" s="66">
        <v>80000</v>
      </c>
      <c r="DT48" s="290" t="s">
        <v>138</v>
      </c>
    </row>
    <row r="49" spans="33:124" ht="15" customHeight="1" hidden="1">
      <c r="AG49" s="201">
        <v>7</v>
      </c>
      <c r="AH49" s="42" t="s">
        <v>170</v>
      </c>
      <c r="AI49" s="41" t="s">
        <v>761</v>
      </c>
      <c r="AW49" s="105">
        <f t="shared" si="60"/>
        <v>0</v>
      </c>
      <c r="AY49" s="105">
        <f t="shared" si="61"/>
        <v>0</v>
      </c>
      <c r="BA49" s="241">
        <f aca="true" t="shared" si="73" ref="BA49:BF49">IF(BA32="General","G",(IF(BA32="Agility","A",(IF(BA32="Passing","P",(IF(BA32="Strength","S",(IF(BA32="Mutation","M",(IF(BA32="Increase30",30,(IF(BA32="Increase40",40,(IF(BA32="Increase50",50,0)))))))))))))))</f>
        <v>0</v>
      </c>
      <c r="BB49" s="242">
        <f t="shared" si="73"/>
        <v>0</v>
      </c>
      <c r="BC49" s="242">
        <f t="shared" si="73"/>
        <v>0</v>
      </c>
      <c r="BD49" s="242">
        <f t="shared" si="73"/>
        <v>0</v>
      </c>
      <c r="BE49" s="242">
        <f t="shared" si="73"/>
        <v>0</v>
      </c>
      <c r="BF49" s="243">
        <f t="shared" si="73"/>
        <v>0</v>
      </c>
      <c r="BH49" s="42" t="s">
        <v>231</v>
      </c>
      <c r="BI49" s="42" t="s">
        <v>245</v>
      </c>
      <c r="BJ49" s="42" t="s">
        <v>252</v>
      </c>
      <c r="BK49" s="42" t="s">
        <v>257</v>
      </c>
      <c r="BL49" s="42" t="s">
        <v>272</v>
      </c>
      <c r="BM49" s="42" t="s">
        <v>353</v>
      </c>
      <c r="BN49" s="42"/>
      <c r="BO49" s="151">
        <v>47</v>
      </c>
      <c r="BP49" s="3" t="s">
        <v>132</v>
      </c>
      <c r="BQ49" s="4">
        <v>6</v>
      </c>
      <c r="BR49" s="4">
        <v>3</v>
      </c>
      <c r="BS49" s="4">
        <v>4</v>
      </c>
      <c r="BT49" s="4">
        <v>8</v>
      </c>
      <c r="BU49" s="20" t="s">
        <v>136</v>
      </c>
      <c r="BV49" s="5">
        <v>90000</v>
      </c>
      <c r="BW49" s="5" t="s">
        <v>29</v>
      </c>
      <c r="BX49" s="5" t="s">
        <v>92</v>
      </c>
      <c r="BY49" s="5">
        <v>2</v>
      </c>
      <c r="BZ49" s="271"/>
      <c r="CA49" s="22"/>
      <c r="CB49" s="7"/>
      <c r="CC49" s="5"/>
      <c r="CD49" s="5"/>
      <c r="CE49" s="5"/>
      <c r="CF49" s="18"/>
      <c r="CG49" s="34">
        <f t="shared" si="64"/>
      </c>
      <c r="CH49" s="2">
        <f t="shared" si="69"/>
      </c>
      <c r="CI49" s="35"/>
      <c r="CJ49" s="5"/>
      <c r="CK49" s="6"/>
      <c r="CM49" s="8"/>
      <c r="CN49" s="9"/>
      <c r="CO49" s="9"/>
      <c r="CP49" s="8"/>
      <c r="CQ49" s="8"/>
      <c r="CR49" s="9"/>
      <c r="CS49" s="14"/>
      <c r="CT49" s="8"/>
      <c r="CU49" s="8"/>
      <c r="CV49" s="8"/>
      <c r="CW49" s="14"/>
      <c r="CX49" s="8"/>
      <c r="CY49" s="9"/>
      <c r="CZ49" s="9"/>
      <c r="DA49" s="9"/>
      <c r="DB49" s="9"/>
      <c r="DC49" s="9"/>
      <c r="DD49" s="14"/>
      <c r="DE49" s="9"/>
      <c r="DF49" s="9"/>
      <c r="DG49" s="8"/>
      <c r="DH49" s="8"/>
      <c r="DI49" s="9"/>
      <c r="DJ49" s="14"/>
      <c r="DL49" s="151">
        <v>47</v>
      </c>
      <c r="DM49" s="3" t="s">
        <v>639</v>
      </c>
      <c r="DN49" s="38">
        <v>8</v>
      </c>
      <c r="DO49" s="38">
        <v>2</v>
      </c>
      <c r="DP49" s="38">
        <v>3</v>
      </c>
      <c r="DQ49" s="38">
        <v>7</v>
      </c>
      <c r="DR49" s="20" t="s">
        <v>720</v>
      </c>
      <c r="DS49" s="67">
        <v>100000</v>
      </c>
      <c r="DT49" s="291"/>
    </row>
    <row r="50" spans="33:124" ht="15" customHeight="1" hidden="1">
      <c r="AG50" s="201">
        <v>8</v>
      </c>
      <c r="AH50" s="42" t="s">
        <v>765</v>
      </c>
      <c r="AI50" s="41" t="s">
        <v>761</v>
      </c>
      <c r="AW50" s="105">
        <f t="shared" si="60"/>
        <v>0</v>
      </c>
      <c r="AY50" s="105">
        <f t="shared" si="61"/>
        <v>0</v>
      </c>
      <c r="BA50" s="241">
        <f aca="true" t="shared" si="74" ref="BA50:BF50">IF(BA33="General","G",(IF(BA33="Agility","A",(IF(BA33="Passing","P",(IF(BA33="Strength","S",(IF(BA33="Mutation","M",(IF(BA33="Increase30",30,(IF(BA33="Increase40",40,(IF(BA33="Increase50",50,0)))))))))))))))</f>
        <v>0</v>
      </c>
      <c r="BB50" s="242">
        <f t="shared" si="74"/>
        <v>0</v>
      </c>
      <c r="BC50" s="242">
        <f t="shared" si="74"/>
        <v>0</v>
      </c>
      <c r="BD50" s="242">
        <f t="shared" si="74"/>
        <v>0</v>
      </c>
      <c r="BE50" s="242">
        <f t="shared" si="74"/>
        <v>0</v>
      </c>
      <c r="BF50" s="243">
        <f t="shared" si="74"/>
        <v>0</v>
      </c>
      <c r="BH50" s="42" t="s">
        <v>239</v>
      </c>
      <c r="BI50" s="42" t="s">
        <v>249</v>
      </c>
      <c r="BJ50" s="42" t="s">
        <v>255</v>
      </c>
      <c r="BK50" s="42" t="s">
        <v>263</v>
      </c>
      <c r="BL50" s="42" t="s">
        <v>273</v>
      </c>
      <c r="BM50" s="42" t="s">
        <v>342</v>
      </c>
      <c r="BN50" s="42"/>
      <c r="BO50" s="151">
        <v>48</v>
      </c>
      <c r="BP50" s="3" t="s">
        <v>133</v>
      </c>
      <c r="BQ50" s="4">
        <v>8</v>
      </c>
      <c r="BR50" s="4">
        <v>3</v>
      </c>
      <c r="BS50" s="4">
        <v>4</v>
      </c>
      <c r="BT50" s="4">
        <v>7</v>
      </c>
      <c r="BU50" s="20" t="s">
        <v>137</v>
      </c>
      <c r="BV50" s="5">
        <v>90000</v>
      </c>
      <c r="BW50" s="5" t="s">
        <v>69</v>
      </c>
      <c r="BX50" s="5" t="s">
        <v>72</v>
      </c>
      <c r="BY50" s="5">
        <v>4</v>
      </c>
      <c r="BZ50" s="271"/>
      <c r="CA50" s="22"/>
      <c r="CC50" s="18"/>
      <c r="CD50" s="18"/>
      <c r="CE50" s="18"/>
      <c r="CF50" s="18"/>
      <c r="CG50" s="34">
        <f t="shared" si="64"/>
      </c>
      <c r="CH50" s="2">
        <f t="shared" si="69"/>
      </c>
      <c r="CI50" s="35"/>
      <c r="CJ50" s="5"/>
      <c r="CK50" s="6"/>
      <c r="CM50" s="8"/>
      <c r="CN50" s="9"/>
      <c r="CO50" s="9"/>
      <c r="CP50" s="8"/>
      <c r="CQ50" s="8"/>
      <c r="CR50" s="9"/>
      <c r="CS50" s="14"/>
      <c r="CT50" s="8"/>
      <c r="CU50" s="8"/>
      <c r="CV50" s="8"/>
      <c r="CW50" s="14"/>
      <c r="CX50" s="8"/>
      <c r="CY50" s="9"/>
      <c r="CZ50" s="9"/>
      <c r="DA50" s="9"/>
      <c r="DB50" s="9"/>
      <c r="DC50" s="9"/>
      <c r="DD50" s="9"/>
      <c r="DE50" s="9"/>
      <c r="DF50" s="9"/>
      <c r="DG50" s="8"/>
      <c r="DH50" s="8"/>
      <c r="DI50" s="9"/>
      <c r="DJ50" s="8"/>
      <c r="DL50" s="151">
        <v>48</v>
      </c>
      <c r="DM50" s="3" t="s">
        <v>640</v>
      </c>
      <c r="DN50" s="38">
        <v>6</v>
      </c>
      <c r="DO50" s="38">
        <v>3</v>
      </c>
      <c r="DP50" s="38">
        <v>3</v>
      </c>
      <c r="DQ50" s="38">
        <v>8</v>
      </c>
      <c r="DR50" s="20" t="s">
        <v>721</v>
      </c>
      <c r="DS50" s="67">
        <v>100000</v>
      </c>
      <c r="DT50" s="291"/>
    </row>
    <row r="51" spans="33:124" ht="15" customHeight="1" hidden="1">
      <c r="AG51" s="201">
        <v>9</v>
      </c>
      <c r="AH51" s="42" t="s">
        <v>766</v>
      </c>
      <c r="AI51" s="41" t="s">
        <v>761</v>
      </c>
      <c r="AW51" s="105">
        <f t="shared" si="60"/>
        <v>0</v>
      </c>
      <c r="AY51" s="105">
        <f t="shared" si="61"/>
        <v>0</v>
      </c>
      <c r="BA51" s="241">
        <f aca="true" t="shared" si="75" ref="BA51:BF51">IF(BA34="General","G",(IF(BA34="Agility","A",(IF(BA34="Passing","P",(IF(BA34="Strength","S",(IF(BA34="Mutation","M",(IF(BA34="Increase30",30,(IF(BA34="Increase40",40,(IF(BA34="Increase50",50,0)))))))))))))))</f>
        <v>0</v>
      </c>
      <c r="BB51" s="242">
        <f t="shared" si="75"/>
        <v>0</v>
      </c>
      <c r="BC51" s="242">
        <f t="shared" si="75"/>
        <v>0</v>
      </c>
      <c r="BD51" s="242">
        <f t="shared" si="75"/>
        <v>0</v>
      </c>
      <c r="BE51" s="242">
        <f t="shared" si="75"/>
        <v>0</v>
      </c>
      <c r="BF51" s="243">
        <f t="shared" si="75"/>
        <v>0</v>
      </c>
      <c r="BH51" s="42" t="s">
        <v>233</v>
      </c>
      <c r="BI51" s="42" t="s">
        <v>246</v>
      </c>
      <c r="BJ51" s="42"/>
      <c r="BK51" s="42" t="s">
        <v>261</v>
      </c>
      <c r="BL51" s="42" t="s">
        <v>270</v>
      </c>
      <c r="BM51" s="42" t="s">
        <v>358</v>
      </c>
      <c r="BN51" s="42"/>
      <c r="BO51" s="151">
        <v>49</v>
      </c>
      <c r="BP51" s="59" t="s">
        <v>134</v>
      </c>
      <c r="BQ51" s="60">
        <v>7</v>
      </c>
      <c r="BR51" s="60">
        <v>3</v>
      </c>
      <c r="BS51" s="60">
        <v>4</v>
      </c>
      <c r="BT51" s="60">
        <v>8</v>
      </c>
      <c r="BU51" s="61" t="s">
        <v>94</v>
      </c>
      <c r="BV51" s="62">
        <v>100000</v>
      </c>
      <c r="BW51" s="62" t="s">
        <v>69</v>
      </c>
      <c r="BX51" s="62" t="s">
        <v>72</v>
      </c>
      <c r="BY51" s="62">
        <v>2</v>
      </c>
      <c r="BZ51" s="272"/>
      <c r="CA51" s="22"/>
      <c r="CC51" s="18"/>
      <c r="CD51" s="18"/>
      <c r="CE51" s="18"/>
      <c r="CF51" s="18"/>
      <c r="CG51" s="22"/>
      <c r="CH51" s="18"/>
      <c r="CI51" s="36"/>
      <c r="CJ51" s="18"/>
      <c r="CK51" s="22"/>
      <c r="DL51" s="151">
        <v>49</v>
      </c>
      <c r="DM51" s="3" t="s">
        <v>641</v>
      </c>
      <c r="DN51" s="38">
        <v>7</v>
      </c>
      <c r="DO51" s="38">
        <v>3</v>
      </c>
      <c r="DP51" s="38">
        <v>3</v>
      </c>
      <c r="DQ51" s="38">
        <v>8</v>
      </c>
      <c r="DR51" s="20" t="s">
        <v>508</v>
      </c>
      <c r="DS51" s="67">
        <v>120000</v>
      </c>
      <c r="DT51" s="291"/>
    </row>
    <row r="52" spans="33:124" ht="15" customHeight="1" hidden="1">
      <c r="AG52" s="201">
        <v>10</v>
      </c>
      <c r="AH52" s="42" t="s">
        <v>767</v>
      </c>
      <c r="AI52" s="41" t="s">
        <v>761</v>
      </c>
      <c r="AW52" s="105">
        <f t="shared" si="60"/>
        <v>0</v>
      </c>
      <c r="AY52" s="105">
        <f t="shared" si="61"/>
        <v>0</v>
      </c>
      <c r="BA52" s="241">
        <f aca="true" t="shared" si="76" ref="BA52:BF52">IF(BA35="General","G",(IF(BA35="Agility","A",(IF(BA35="Passing","P",(IF(BA35="Strength","S",(IF(BA35="Mutation","M",(IF(BA35="Increase30",30,(IF(BA35="Increase40",40,(IF(BA35="Increase50",50,0)))))))))))))))</f>
        <v>0</v>
      </c>
      <c r="BB52" s="242">
        <f t="shared" si="76"/>
        <v>0</v>
      </c>
      <c r="BC52" s="242">
        <f t="shared" si="76"/>
        <v>0</v>
      </c>
      <c r="BD52" s="242">
        <f t="shared" si="76"/>
        <v>0</v>
      </c>
      <c r="BE52" s="242">
        <f t="shared" si="76"/>
        <v>0</v>
      </c>
      <c r="BF52" s="243">
        <f t="shared" si="76"/>
        <v>0</v>
      </c>
      <c r="BH52" s="42" t="s">
        <v>238</v>
      </c>
      <c r="BI52" s="42" t="s">
        <v>248</v>
      </c>
      <c r="BJ52" s="42"/>
      <c r="BK52" s="42" t="s">
        <v>258</v>
      </c>
      <c r="BL52" s="42" t="s">
        <v>267</v>
      </c>
      <c r="BM52" s="42" t="s">
        <v>360</v>
      </c>
      <c r="BN52" s="42"/>
      <c r="BO52" s="151">
        <v>50</v>
      </c>
      <c r="BP52" s="55" t="s">
        <v>139</v>
      </c>
      <c r="BQ52" s="65">
        <v>6</v>
      </c>
      <c r="BR52" s="65">
        <v>3</v>
      </c>
      <c r="BS52" s="65">
        <v>3</v>
      </c>
      <c r="BT52" s="65">
        <v>8</v>
      </c>
      <c r="BU52" s="57"/>
      <c r="BV52" s="66">
        <v>50000</v>
      </c>
      <c r="BW52" s="66" t="s">
        <v>18</v>
      </c>
      <c r="BX52" s="66" t="s">
        <v>70</v>
      </c>
      <c r="BY52" s="66">
        <v>16</v>
      </c>
      <c r="BZ52" s="290" t="s">
        <v>138</v>
      </c>
      <c r="CA52" s="22"/>
      <c r="CC52" s="18"/>
      <c r="CD52" s="18"/>
      <c r="CE52" s="18"/>
      <c r="CF52" s="18"/>
      <c r="CG52" s="22"/>
      <c r="CH52" s="18"/>
      <c r="CI52" s="36"/>
      <c r="CJ52" s="18"/>
      <c r="CK52" s="22"/>
      <c r="DL52" s="151">
        <v>50</v>
      </c>
      <c r="DM52" s="68" t="s">
        <v>642</v>
      </c>
      <c r="DN52" s="69">
        <v>5</v>
      </c>
      <c r="DO52" s="69">
        <v>5</v>
      </c>
      <c r="DP52" s="69">
        <v>2</v>
      </c>
      <c r="DQ52" s="69">
        <v>9</v>
      </c>
      <c r="DR52" s="61" t="s">
        <v>146</v>
      </c>
      <c r="DS52" s="70">
        <v>170000</v>
      </c>
      <c r="DT52" s="292"/>
    </row>
    <row r="53" spans="33:124" ht="15" customHeight="1" hidden="1">
      <c r="AG53" s="201">
        <v>11</v>
      </c>
      <c r="AH53" s="42" t="s">
        <v>768</v>
      </c>
      <c r="AI53" s="41" t="s">
        <v>761</v>
      </c>
      <c r="AW53" s="105">
        <f t="shared" si="60"/>
        <v>0</v>
      </c>
      <c r="AY53" s="105">
        <f t="shared" si="61"/>
        <v>0</v>
      </c>
      <c r="BA53" s="241">
        <f aca="true" t="shared" si="77" ref="BA53:BF53">IF(BA36="General","G",(IF(BA36="Agility","A",(IF(BA36="Passing","P",(IF(BA36="Strength","S",(IF(BA36="Mutation","M",(IF(BA36="Increase30",30,(IF(BA36="Increase40",40,(IF(BA36="Increase50",50,0)))))))))))))))</f>
        <v>0</v>
      </c>
      <c r="BB53" s="242">
        <f t="shared" si="77"/>
        <v>0</v>
      </c>
      <c r="BC53" s="242">
        <f t="shared" si="77"/>
        <v>0</v>
      </c>
      <c r="BD53" s="242">
        <f t="shared" si="77"/>
        <v>0</v>
      </c>
      <c r="BE53" s="242">
        <f t="shared" si="77"/>
        <v>0</v>
      </c>
      <c r="BF53" s="243">
        <f t="shared" si="77"/>
        <v>0</v>
      </c>
      <c r="BH53" s="42" t="s">
        <v>232</v>
      </c>
      <c r="BI53" s="42" t="s">
        <v>247</v>
      </c>
      <c r="BJ53" s="42"/>
      <c r="BK53" s="42" t="s">
        <v>266</v>
      </c>
      <c r="BL53" s="42" t="s">
        <v>271</v>
      </c>
      <c r="BM53" s="42" t="s">
        <v>343</v>
      </c>
      <c r="BN53" s="42"/>
      <c r="BO53" s="151">
        <v>51</v>
      </c>
      <c r="BP53" s="3" t="s">
        <v>141</v>
      </c>
      <c r="BQ53" s="38">
        <v>8</v>
      </c>
      <c r="BR53" s="38">
        <v>2</v>
      </c>
      <c r="BS53" s="38">
        <v>3</v>
      </c>
      <c r="BT53" s="38">
        <v>7</v>
      </c>
      <c r="BU53" s="20" t="s">
        <v>143</v>
      </c>
      <c r="BV53" s="67">
        <v>70000</v>
      </c>
      <c r="BW53" s="67" t="s">
        <v>69</v>
      </c>
      <c r="BX53" s="67" t="s">
        <v>72</v>
      </c>
      <c r="BY53" s="67">
        <v>4</v>
      </c>
      <c r="BZ53" s="291"/>
      <c r="CA53" s="22"/>
      <c r="CC53" s="18"/>
      <c r="CD53" s="18"/>
      <c r="CE53" s="18"/>
      <c r="CF53" s="18"/>
      <c r="CG53" s="22"/>
      <c r="CH53" s="18"/>
      <c r="CI53" s="36"/>
      <c r="CJ53" s="18"/>
      <c r="CK53" s="22"/>
      <c r="DL53" s="151">
        <v>51</v>
      </c>
      <c r="DM53" s="55" t="s">
        <v>643</v>
      </c>
      <c r="DN53" s="56">
        <v>5</v>
      </c>
      <c r="DO53" s="56">
        <v>3</v>
      </c>
      <c r="DP53" s="56">
        <v>2</v>
      </c>
      <c r="DQ53" s="56">
        <v>7</v>
      </c>
      <c r="DR53" s="57" t="s">
        <v>502</v>
      </c>
      <c r="DS53" s="58">
        <v>70000</v>
      </c>
      <c r="DT53" s="270" t="s">
        <v>49</v>
      </c>
    </row>
    <row r="54" spans="33:124" ht="15" customHeight="1" hidden="1">
      <c r="AG54" s="201">
        <v>12</v>
      </c>
      <c r="AH54" s="42" t="s">
        <v>769</v>
      </c>
      <c r="AI54" s="41" t="s">
        <v>761</v>
      </c>
      <c r="AW54" s="105">
        <f t="shared" si="60"/>
        <v>0</v>
      </c>
      <c r="AY54" s="105">
        <f t="shared" si="61"/>
        <v>0</v>
      </c>
      <c r="BA54" s="244">
        <f aca="true" t="shared" si="78" ref="BA54:BF54">IF(BA37="General","G",(IF(BA37="Agility","A",(IF(BA37="Passing","P",(IF(BA37="Strength","S",(IF(BA37="Mutation","M",(IF(BA37="Increase30",30,(IF(BA37="Increase40",40,(IF(BA37="Increase50",50,0)))))))))))))))</f>
        <v>0</v>
      </c>
      <c r="BB54" s="245">
        <f t="shared" si="78"/>
        <v>0</v>
      </c>
      <c r="BC54" s="245">
        <f t="shared" si="78"/>
        <v>0</v>
      </c>
      <c r="BD54" s="245">
        <f t="shared" si="78"/>
        <v>0</v>
      </c>
      <c r="BE54" s="245">
        <f t="shared" si="78"/>
        <v>0</v>
      </c>
      <c r="BF54" s="246">
        <f t="shared" si="78"/>
        <v>0</v>
      </c>
      <c r="BH54" s="42" t="s">
        <v>234</v>
      </c>
      <c r="BI54" s="42"/>
      <c r="BJ54" s="42"/>
      <c r="BK54" s="42"/>
      <c r="BL54" s="42"/>
      <c r="BM54" s="42" t="s">
        <v>344</v>
      </c>
      <c r="BN54" s="42"/>
      <c r="BO54" s="151">
        <v>52</v>
      </c>
      <c r="BP54" s="3" t="s">
        <v>140</v>
      </c>
      <c r="BQ54" s="38">
        <v>6</v>
      </c>
      <c r="BR54" s="38">
        <v>3</v>
      </c>
      <c r="BS54" s="38">
        <v>3</v>
      </c>
      <c r="BT54" s="38">
        <v>8</v>
      </c>
      <c r="BU54" s="20" t="s">
        <v>145</v>
      </c>
      <c r="BV54" s="67">
        <v>70000</v>
      </c>
      <c r="BW54" s="67" t="s">
        <v>67</v>
      </c>
      <c r="BX54" s="67" t="s">
        <v>71</v>
      </c>
      <c r="BY54" s="67">
        <v>2</v>
      </c>
      <c r="BZ54" s="291"/>
      <c r="CA54" s="22"/>
      <c r="CC54" s="18"/>
      <c r="CD54" s="18"/>
      <c r="CE54" s="18"/>
      <c r="CF54" s="18"/>
      <c r="CG54" s="22"/>
      <c r="CH54" s="18"/>
      <c r="CI54" s="36"/>
      <c r="CJ54" s="18"/>
      <c r="CK54" s="22"/>
      <c r="DL54" s="151">
        <v>52</v>
      </c>
      <c r="DM54" s="3" t="s">
        <v>644</v>
      </c>
      <c r="DN54" s="4">
        <v>6</v>
      </c>
      <c r="DO54" s="4">
        <v>3</v>
      </c>
      <c r="DP54" s="4">
        <v>2</v>
      </c>
      <c r="DQ54" s="4">
        <v>7</v>
      </c>
      <c r="DR54" s="20" t="s">
        <v>722</v>
      </c>
      <c r="DS54" s="5">
        <v>100000</v>
      </c>
      <c r="DT54" s="271"/>
    </row>
    <row r="55" spans="33:124" ht="15" customHeight="1" hidden="1">
      <c r="AG55" s="201">
        <v>13</v>
      </c>
      <c r="AH55" s="42" t="s">
        <v>770</v>
      </c>
      <c r="AI55" s="41" t="s">
        <v>761</v>
      </c>
      <c r="BH55" s="42" t="s">
        <v>235</v>
      </c>
      <c r="BI55" s="42"/>
      <c r="BJ55" s="42"/>
      <c r="BK55" s="42"/>
      <c r="BL55" s="42"/>
      <c r="BM55" s="42" t="s">
        <v>345</v>
      </c>
      <c r="BN55" s="42"/>
      <c r="BO55" s="151">
        <v>53</v>
      </c>
      <c r="BP55" s="3" t="s">
        <v>142</v>
      </c>
      <c r="BQ55" s="38">
        <v>7</v>
      </c>
      <c r="BR55" s="38">
        <v>3</v>
      </c>
      <c r="BS55" s="38">
        <v>3</v>
      </c>
      <c r="BT55" s="38">
        <v>8</v>
      </c>
      <c r="BU55" s="20" t="s">
        <v>94</v>
      </c>
      <c r="BV55" s="67">
        <v>90000</v>
      </c>
      <c r="BW55" s="67" t="s">
        <v>73</v>
      </c>
      <c r="BX55" s="67" t="s">
        <v>68</v>
      </c>
      <c r="BY55" s="67">
        <v>4</v>
      </c>
      <c r="BZ55" s="291"/>
      <c r="CA55" s="22"/>
      <c r="CC55" s="18"/>
      <c r="CD55" s="18"/>
      <c r="CE55" s="18"/>
      <c r="CF55" s="18"/>
      <c r="CG55" s="22"/>
      <c r="CH55" s="18"/>
      <c r="CI55" s="36"/>
      <c r="CJ55" s="18"/>
      <c r="CK55" s="22"/>
      <c r="DL55" s="151">
        <v>53</v>
      </c>
      <c r="DM55" s="3" t="s">
        <v>645</v>
      </c>
      <c r="DN55" s="4">
        <v>6</v>
      </c>
      <c r="DO55" s="4">
        <v>3</v>
      </c>
      <c r="DP55" s="4">
        <v>2</v>
      </c>
      <c r="DQ55" s="4">
        <v>8</v>
      </c>
      <c r="DR55" s="20" t="s">
        <v>723</v>
      </c>
      <c r="DS55" s="5">
        <v>120000</v>
      </c>
      <c r="DT55" s="271"/>
    </row>
    <row r="56" spans="33:124" ht="15" customHeight="1" hidden="1">
      <c r="AG56" s="201">
        <v>14</v>
      </c>
      <c r="AH56" s="42" t="s">
        <v>771</v>
      </c>
      <c r="AI56" s="41" t="s">
        <v>761</v>
      </c>
      <c r="BH56" s="42" t="s">
        <v>236</v>
      </c>
      <c r="BI56" s="42"/>
      <c r="BJ56" s="42"/>
      <c r="BK56" s="42"/>
      <c r="BL56" s="42"/>
      <c r="BM56" s="42" t="s">
        <v>357</v>
      </c>
      <c r="BN56" s="42"/>
      <c r="BO56" s="151">
        <v>54</v>
      </c>
      <c r="BP56" s="68" t="s">
        <v>48</v>
      </c>
      <c r="BQ56" s="69">
        <v>5</v>
      </c>
      <c r="BR56" s="69">
        <v>5</v>
      </c>
      <c r="BS56" s="69">
        <v>2</v>
      </c>
      <c r="BT56" s="69">
        <v>9</v>
      </c>
      <c r="BU56" s="61" t="s">
        <v>146</v>
      </c>
      <c r="BV56" s="70">
        <v>140000</v>
      </c>
      <c r="BW56" s="70" t="s">
        <v>92</v>
      </c>
      <c r="BX56" s="70" t="s">
        <v>29</v>
      </c>
      <c r="BY56" s="70">
        <v>1</v>
      </c>
      <c r="BZ56" s="292"/>
      <c r="CA56" s="22"/>
      <c r="CC56" s="18"/>
      <c r="CD56" s="18"/>
      <c r="CE56" s="18"/>
      <c r="CF56" s="18"/>
      <c r="CG56" s="22"/>
      <c r="CH56" s="18"/>
      <c r="CI56" s="36"/>
      <c r="CJ56" s="18"/>
      <c r="CK56" s="22"/>
      <c r="DL56" s="151">
        <v>54</v>
      </c>
      <c r="DM56" s="59" t="s">
        <v>646</v>
      </c>
      <c r="DN56" s="60">
        <v>4</v>
      </c>
      <c r="DO56" s="60">
        <v>5</v>
      </c>
      <c r="DP56" s="60">
        <v>1</v>
      </c>
      <c r="DQ56" s="60">
        <v>9</v>
      </c>
      <c r="DR56" s="61" t="s">
        <v>724</v>
      </c>
      <c r="DS56" s="70">
        <v>130000</v>
      </c>
      <c r="DT56" s="272"/>
    </row>
    <row r="57" spans="33:124" ht="15" customHeight="1" hidden="1">
      <c r="AG57" s="201">
        <v>15</v>
      </c>
      <c r="AH57" s="42" t="s">
        <v>772</v>
      </c>
      <c r="AI57" s="41" t="s">
        <v>761</v>
      </c>
      <c r="BH57" s="42" t="s">
        <v>237</v>
      </c>
      <c r="BI57" s="42"/>
      <c r="BJ57" s="42"/>
      <c r="BK57" s="42"/>
      <c r="BL57" s="42"/>
      <c r="BM57" s="42" t="s">
        <v>354</v>
      </c>
      <c r="BN57" s="42"/>
      <c r="BO57" s="151">
        <v>55</v>
      </c>
      <c r="BP57" s="55" t="s">
        <v>485</v>
      </c>
      <c r="BQ57" s="56">
        <v>5</v>
      </c>
      <c r="BR57" s="56">
        <v>3</v>
      </c>
      <c r="BS57" s="56">
        <v>2</v>
      </c>
      <c r="BT57" s="56">
        <v>7</v>
      </c>
      <c r="BU57" s="57" t="s">
        <v>397</v>
      </c>
      <c r="BV57" s="58">
        <v>40000</v>
      </c>
      <c r="BW57" s="58" t="s">
        <v>18</v>
      </c>
      <c r="BX57" s="58" t="s">
        <v>70</v>
      </c>
      <c r="BY57" s="58">
        <v>16</v>
      </c>
      <c r="BZ57" s="270" t="s">
        <v>49</v>
      </c>
      <c r="CA57" s="22"/>
      <c r="CC57" s="18"/>
      <c r="CD57" s="18"/>
      <c r="CE57" s="18"/>
      <c r="CF57" s="18"/>
      <c r="CG57" s="22"/>
      <c r="CH57" s="18"/>
      <c r="CI57" s="36"/>
      <c r="CJ57" s="18"/>
      <c r="CK57" s="22"/>
      <c r="DL57" s="151">
        <v>55</v>
      </c>
      <c r="DM57" s="55" t="s">
        <v>647</v>
      </c>
      <c r="DN57" s="65">
        <v>8</v>
      </c>
      <c r="DO57" s="65">
        <v>2</v>
      </c>
      <c r="DP57" s="65">
        <v>3</v>
      </c>
      <c r="DQ57" s="65">
        <v>7</v>
      </c>
      <c r="DR57" s="57" t="s">
        <v>504</v>
      </c>
      <c r="DS57" s="66">
        <v>90000</v>
      </c>
      <c r="DT57" s="290" t="s">
        <v>153</v>
      </c>
    </row>
    <row r="58" spans="33:124" ht="15" customHeight="1" hidden="1">
      <c r="AG58" s="201">
        <v>16</v>
      </c>
      <c r="AH58" s="42" t="s">
        <v>773</v>
      </c>
      <c r="AI58" s="41" t="s">
        <v>761</v>
      </c>
      <c r="BI58" s="42"/>
      <c r="BJ58" s="42"/>
      <c r="BK58" s="42"/>
      <c r="BL58" s="42"/>
      <c r="BM58" s="42" t="s">
        <v>346</v>
      </c>
      <c r="BN58" s="42"/>
      <c r="BO58" s="151">
        <v>56</v>
      </c>
      <c r="BP58" s="3" t="s">
        <v>52</v>
      </c>
      <c r="BQ58" s="4">
        <v>6</v>
      </c>
      <c r="BR58" s="4">
        <v>3</v>
      </c>
      <c r="BS58" s="4">
        <v>2</v>
      </c>
      <c r="BT58" s="4">
        <v>7</v>
      </c>
      <c r="BU58" s="20" t="s">
        <v>150</v>
      </c>
      <c r="BV58" s="5">
        <v>70000</v>
      </c>
      <c r="BW58" s="5" t="s">
        <v>67</v>
      </c>
      <c r="BX58" s="5" t="s">
        <v>71</v>
      </c>
      <c r="BY58" s="5">
        <v>2</v>
      </c>
      <c r="BZ58" s="271"/>
      <c r="CA58" s="22"/>
      <c r="CC58" s="18"/>
      <c r="CD58" s="18"/>
      <c r="CE58" s="18"/>
      <c r="CF58" s="18"/>
      <c r="CG58" s="22"/>
      <c r="CH58" s="18"/>
      <c r="CI58" s="36"/>
      <c r="CJ58" s="18"/>
      <c r="CK58" s="22"/>
      <c r="DL58" s="151">
        <v>56</v>
      </c>
      <c r="DM58" s="3" t="s">
        <v>648</v>
      </c>
      <c r="DN58" s="38">
        <v>6</v>
      </c>
      <c r="DO58" s="38">
        <v>4</v>
      </c>
      <c r="DP58" s="38">
        <v>1</v>
      </c>
      <c r="DQ58" s="38">
        <v>9</v>
      </c>
      <c r="DR58" s="20" t="s">
        <v>491</v>
      </c>
      <c r="DS58" s="67">
        <v>110000</v>
      </c>
      <c r="DT58" s="291"/>
    </row>
    <row r="59" spans="33:124" ht="15" customHeight="1" hidden="1">
      <c r="AG59" s="201">
        <v>17</v>
      </c>
      <c r="AH59" s="203" t="s">
        <v>811</v>
      </c>
      <c r="BI59" s="42"/>
      <c r="BJ59" s="42"/>
      <c r="BK59" s="42"/>
      <c r="BL59" s="42"/>
      <c r="BM59" s="42" t="s">
        <v>347</v>
      </c>
      <c r="BN59" s="42"/>
      <c r="BO59" s="151">
        <v>57</v>
      </c>
      <c r="BP59" s="3" t="s">
        <v>53</v>
      </c>
      <c r="BQ59" s="4">
        <v>6</v>
      </c>
      <c r="BR59" s="4">
        <v>3</v>
      </c>
      <c r="BS59" s="4">
        <v>2</v>
      </c>
      <c r="BT59" s="4">
        <v>8</v>
      </c>
      <c r="BU59" s="20" t="s">
        <v>151</v>
      </c>
      <c r="BV59" s="5">
        <v>90000</v>
      </c>
      <c r="BW59" s="5" t="s">
        <v>73</v>
      </c>
      <c r="BX59" s="5" t="s">
        <v>68</v>
      </c>
      <c r="BY59" s="5">
        <v>2</v>
      </c>
      <c r="BZ59" s="271"/>
      <c r="CA59" s="22"/>
      <c r="CC59" s="18"/>
      <c r="CD59" s="18"/>
      <c r="CE59" s="18"/>
      <c r="CF59" s="18"/>
      <c r="CG59" s="22"/>
      <c r="CH59" s="18"/>
      <c r="CI59" s="36"/>
      <c r="CJ59" s="18"/>
      <c r="CK59" s="22"/>
      <c r="DL59" s="151">
        <v>57</v>
      </c>
      <c r="DM59" s="59" t="s">
        <v>649</v>
      </c>
      <c r="DN59" s="69">
        <v>6</v>
      </c>
      <c r="DO59" s="69">
        <v>5</v>
      </c>
      <c r="DP59" s="69">
        <v>1</v>
      </c>
      <c r="DQ59" s="69">
        <v>9</v>
      </c>
      <c r="DR59" s="61" t="s">
        <v>156</v>
      </c>
      <c r="DS59" s="70">
        <v>170000</v>
      </c>
      <c r="DT59" s="292"/>
    </row>
    <row r="60" spans="33:124" ht="15" customHeight="1" hidden="1">
      <c r="AG60" s="201">
        <v>18</v>
      </c>
      <c r="AH60" s="42" t="s">
        <v>137</v>
      </c>
      <c r="AI60" s="41" t="s">
        <v>774</v>
      </c>
      <c r="BI60" s="42"/>
      <c r="BJ60" s="42"/>
      <c r="BK60" s="42"/>
      <c r="BL60" s="42"/>
      <c r="BM60" s="42" t="s">
        <v>348</v>
      </c>
      <c r="BN60" s="42"/>
      <c r="BO60" s="151">
        <v>58</v>
      </c>
      <c r="BP60" s="59" t="s">
        <v>398</v>
      </c>
      <c r="BQ60" s="60">
        <v>4</v>
      </c>
      <c r="BR60" s="60">
        <v>5</v>
      </c>
      <c r="BS60" s="60">
        <v>1</v>
      </c>
      <c r="BT60" s="60">
        <v>9</v>
      </c>
      <c r="BU60" s="61" t="s">
        <v>399</v>
      </c>
      <c r="BV60" s="70">
        <v>100000</v>
      </c>
      <c r="BW60" s="70" t="s">
        <v>92</v>
      </c>
      <c r="BX60" s="70" t="s">
        <v>29</v>
      </c>
      <c r="BY60" s="70">
        <v>4</v>
      </c>
      <c r="BZ60" s="272"/>
      <c r="CA60" s="22"/>
      <c r="CC60" s="18"/>
      <c r="CD60" s="18"/>
      <c r="CE60" s="18"/>
      <c r="CF60" s="18"/>
      <c r="CG60" s="22"/>
      <c r="CH60" s="18"/>
      <c r="CI60" s="36"/>
      <c r="CJ60" s="18"/>
      <c r="CK60" s="22"/>
      <c r="DL60" s="151">
        <v>58</v>
      </c>
      <c r="DM60" s="55" t="s">
        <v>650</v>
      </c>
      <c r="DN60" s="65">
        <v>4</v>
      </c>
      <c r="DO60" s="65">
        <v>3</v>
      </c>
      <c r="DP60" s="65">
        <v>2</v>
      </c>
      <c r="DQ60" s="65">
        <v>8</v>
      </c>
      <c r="DR60" s="57" t="s">
        <v>506</v>
      </c>
      <c r="DS60" s="66">
        <v>70000</v>
      </c>
      <c r="DT60" s="270" t="s">
        <v>158</v>
      </c>
    </row>
    <row r="61" spans="33:124" ht="15" customHeight="1" hidden="1">
      <c r="AG61" s="201">
        <v>19</v>
      </c>
      <c r="AH61" s="42" t="s">
        <v>775</v>
      </c>
      <c r="AI61" s="41" t="s">
        <v>774</v>
      </c>
      <c r="BI61" s="42"/>
      <c r="BJ61" s="42"/>
      <c r="BK61" s="42"/>
      <c r="BL61" s="42"/>
      <c r="BM61" s="42" t="s">
        <v>359</v>
      </c>
      <c r="BN61" s="42"/>
      <c r="BO61" s="151">
        <v>59</v>
      </c>
      <c r="BP61" s="55" t="s">
        <v>154</v>
      </c>
      <c r="BQ61" s="65">
        <v>8</v>
      </c>
      <c r="BR61" s="65">
        <v>2</v>
      </c>
      <c r="BS61" s="65">
        <v>3</v>
      </c>
      <c r="BT61" s="65">
        <v>7</v>
      </c>
      <c r="BU61" s="57" t="s">
        <v>155</v>
      </c>
      <c r="BV61" s="66">
        <v>60000</v>
      </c>
      <c r="BW61" s="66" t="s">
        <v>43</v>
      </c>
      <c r="BX61" s="66" t="s">
        <v>129</v>
      </c>
      <c r="BY61" s="66">
        <v>16</v>
      </c>
      <c r="BZ61" s="290" t="s">
        <v>153</v>
      </c>
      <c r="CA61" s="22"/>
      <c r="CC61" s="18"/>
      <c r="CD61" s="18"/>
      <c r="CE61" s="18"/>
      <c r="CF61" s="18"/>
      <c r="CG61" s="22"/>
      <c r="CH61" s="18"/>
      <c r="CI61" s="36"/>
      <c r="CJ61" s="18"/>
      <c r="CK61" s="22"/>
      <c r="DL61" s="151">
        <v>59</v>
      </c>
      <c r="DM61" s="3" t="s">
        <v>651</v>
      </c>
      <c r="DN61" s="38">
        <v>7</v>
      </c>
      <c r="DO61" s="38">
        <v>3</v>
      </c>
      <c r="DP61" s="38">
        <v>3</v>
      </c>
      <c r="DQ61" s="38">
        <v>7</v>
      </c>
      <c r="DR61" s="20" t="s">
        <v>487</v>
      </c>
      <c r="DS61" s="67">
        <v>100000</v>
      </c>
      <c r="DT61" s="271"/>
    </row>
    <row r="62" spans="33:124" ht="15" customHeight="1" hidden="1">
      <c r="AG62" s="201">
        <v>20</v>
      </c>
      <c r="AH62" s="42" t="s">
        <v>776</v>
      </c>
      <c r="AI62" s="41" t="s">
        <v>774</v>
      </c>
      <c r="BI62" s="42"/>
      <c r="BJ62" s="42"/>
      <c r="BK62" s="42"/>
      <c r="BL62" s="42"/>
      <c r="BM62" s="42" t="s">
        <v>349</v>
      </c>
      <c r="BN62" s="42"/>
      <c r="BO62" s="151">
        <v>60</v>
      </c>
      <c r="BP62" s="3" t="s">
        <v>157</v>
      </c>
      <c r="BQ62" s="38">
        <v>6</v>
      </c>
      <c r="BR62" s="38">
        <v>4</v>
      </c>
      <c r="BS62" s="38">
        <v>1</v>
      </c>
      <c r="BT62" s="38">
        <v>9</v>
      </c>
      <c r="BU62" s="20"/>
      <c r="BV62" s="67">
        <v>80000</v>
      </c>
      <c r="BW62" s="67" t="s">
        <v>73</v>
      </c>
      <c r="BX62" s="67" t="s">
        <v>68</v>
      </c>
      <c r="BY62" s="67">
        <v>6</v>
      </c>
      <c r="BZ62" s="291"/>
      <c r="CA62" s="22"/>
      <c r="CC62" s="18"/>
      <c r="CD62" s="18"/>
      <c r="CE62" s="18"/>
      <c r="CF62" s="18"/>
      <c r="CG62" s="22"/>
      <c r="CH62" s="18"/>
      <c r="CI62" s="36"/>
      <c r="CJ62" s="18"/>
      <c r="CK62" s="22"/>
      <c r="DL62" s="151">
        <v>60</v>
      </c>
      <c r="DM62" s="3" t="s">
        <v>652</v>
      </c>
      <c r="DN62" s="38">
        <v>6</v>
      </c>
      <c r="DO62" s="38">
        <v>3</v>
      </c>
      <c r="DP62" s="38">
        <v>3</v>
      </c>
      <c r="DQ62" s="38">
        <v>8</v>
      </c>
      <c r="DR62" s="20" t="s">
        <v>723</v>
      </c>
      <c r="DS62" s="67">
        <v>120000</v>
      </c>
      <c r="DT62" s="271"/>
    </row>
    <row r="63" spans="33:124" ht="15" customHeight="1" hidden="1">
      <c r="AG63" s="201">
        <v>21</v>
      </c>
      <c r="AH63" s="42" t="s">
        <v>74</v>
      </c>
      <c r="AI63" s="41" t="s">
        <v>774</v>
      </c>
      <c r="BI63" s="42"/>
      <c r="BJ63" s="42"/>
      <c r="BK63" s="42"/>
      <c r="BL63" s="42"/>
      <c r="BM63" s="42" t="s">
        <v>350</v>
      </c>
      <c r="BN63" s="42"/>
      <c r="BO63" s="151">
        <v>61</v>
      </c>
      <c r="BP63" s="59" t="s">
        <v>23</v>
      </c>
      <c r="BQ63" s="69">
        <v>6</v>
      </c>
      <c r="BR63" s="69">
        <v>5</v>
      </c>
      <c r="BS63" s="69">
        <v>1</v>
      </c>
      <c r="BT63" s="69">
        <v>9</v>
      </c>
      <c r="BU63" s="61" t="s">
        <v>156</v>
      </c>
      <c r="BV63" s="70">
        <v>140000</v>
      </c>
      <c r="BW63" s="70" t="s">
        <v>92</v>
      </c>
      <c r="BX63" s="70" t="s">
        <v>29</v>
      </c>
      <c r="BY63" s="70">
        <v>1</v>
      </c>
      <c r="BZ63" s="292"/>
      <c r="CA63" s="22"/>
      <c r="CC63" s="18"/>
      <c r="CD63" s="18"/>
      <c r="CE63" s="18"/>
      <c r="CF63" s="18"/>
      <c r="CG63" s="22"/>
      <c r="CH63" s="18"/>
      <c r="CI63" s="36"/>
      <c r="CJ63" s="18"/>
      <c r="CK63" s="22"/>
      <c r="DL63" s="151">
        <v>61</v>
      </c>
      <c r="DM63" s="3" t="s">
        <v>653</v>
      </c>
      <c r="DN63" s="38">
        <v>4</v>
      </c>
      <c r="DO63" s="38">
        <v>4</v>
      </c>
      <c r="DP63" s="38">
        <v>2</v>
      </c>
      <c r="DQ63" s="38">
        <v>9</v>
      </c>
      <c r="DR63" s="20" t="s">
        <v>725</v>
      </c>
      <c r="DS63" s="67">
        <v>140000</v>
      </c>
      <c r="DT63" s="271"/>
    </row>
    <row r="64" spans="33:124" ht="15" customHeight="1" hidden="1">
      <c r="AG64" s="201">
        <v>22</v>
      </c>
      <c r="AH64" s="42" t="s">
        <v>777</v>
      </c>
      <c r="AI64" s="41" t="s">
        <v>774</v>
      </c>
      <c r="BI64" s="42"/>
      <c r="BJ64" s="42"/>
      <c r="BK64" s="42"/>
      <c r="BL64" s="42"/>
      <c r="BM64" s="42" t="s">
        <v>355</v>
      </c>
      <c r="BN64" s="42"/>
      <c r="BO64" s="151">
        <v>62</v>
      </c>
      <c r="BP64" s="55" t="s">
        <v>482</v>
      </c>
      <c r="BQ64" s="65">
        <v>4</v>
      </c>
      <c r="BR64" s="65">
        <v>3</v>
      </c>
      <c r="BS64" s="65">
        <v>2</v>
      </c>
      <c r="BT64" s="65">
        <v>8</v>
      </c>
      <c r="BU64" s="57" t="s">
        <v>149</v>
      </c>
      <c r="BV64" s="66">
        <v>40000</v>
      </c>
      <c r="BW64" s="66" t="s">
        <v>18</v>
      </c>
      <c r="BX64" s="66" t="s">
        <v>70</v>
      </c>
      <c r="BY64" s="66">
        <v>16</v>
      </c>
      <c r="BZ64" s="270" t="s">
        <v>158</v>
      </c>
      <c r="CA64" s="22"/>
      <c r="CC64" s="18"/>
      <c r="CD64" s="18"/>
      <c r="CE64" s="18"/>
      <c r="CF64" s="18"/>
      <c r="CG64" s="22"/>
      <c r="CH64" s="18"/>
      <c r="CI64" s="36"/>
      <c r="CJ64" s="18"/>
      <c r="CK64" s="22"/>
      <c r="DL64" s="151">
        <v>62</v>
      </c>
      <c r="DM64" s="59" t="s">
        <v>654</v>
      </c>
      <c r="DN64" s="69">
        <v>8</v>
      </c>
      <c r="DO64" s="69">
        <v>3</v>
      </c>
      <c r="DP64" s="69">
        <v>3</v>
      </c>
      <c r="DQ64" s="69">
        <v>8</v>
      </c>
      <c r="DR64" s="61" t="s">
        <v>726</v>
      </c>
      <c r="DS64" s="70">
        <v>150000</v>
      </c>
      <c r="DT64" s="272"/>
    </row>
    <row r="65" spans="33:124" ht="15" customHeight="1" hidden="1">
      <c r="AG65" s="201">
        <v>23</v>
      </c>
      <c r="AH65" s="42" t="s">
        <v>778</v>
      </c>
      <c r="AI65" s="41" t="s">
        <v>774</v>
      </c>
      <c r="BI65" s="42"/>
      <c r="BJ65" s="42"/>
      <c r="BK65" s="42"/>
      <c r="BL65" s="42"/>
      <c r="BM65" s="42" t="s">
        <v>351</v>
      </c>
      <c r="BN65" s="42"/>
      <c r="BO65" s="151">
        <v>63</v>
      </c>
      <c r="BP65" s="3" t="s">
        <v>483</v>
      </c>
      <c r="BQ65" s="38">
        <v>7</v>
      </c>
      <c r="BR65" s="38">
        <v>3</v>
      </c>
      <c r="BS65" s="38">
        <v>3</v>
      </c>
      <c r="BT65" s="38">
        <v>7</v>
      </c>
      <c r="BU65" s="20" t="s">
        <v>74</v>
      </c>
      <c r="BV65" s="67">
        <v>70000</v>
      </c>
      <c r="BW65" s="67" t="s">
        <v>69</v>
      </c>
      <c r="BX65" s="67" t="s">
        <v>72</v>
      </c>
      <c r="BY65" s="67">
        <v>2</v>
      </c>
      <c r="BZ65" s="271"/>
      <c r="CA65" s="22"/>
      <c r="CC65" s="18"/>
      <c r="CD65" s="18"/>
      <c r="CE65" s="18"/>
      <c r="CF65" s="18"/>
      <c r="CG65" s="22"/>
      <c r="CH65" s="18"/>
      <c r="CI65" s="36"/>
      <c r="CJ65" s="18"/>
      <c r="CK65" s="22"/>
      <c r="DL65" s="151">
        <v>63</v>
      </c>
      <c r="DM65" s="63" t="s">
        <v>655</v>
      </c>
      <c r="DN65" s="65">
        <v>6</v>
      </c>
      <c r="DO65" s="65">
        <v>3</v>
      </c>
      <c r="DP65" s="65">
        <v>3</v>
      </c>
      <c r="DQ65" s="65">
        <v>7</v>
      </c>
      <c r="DR65" s="57" t="s">
        <v>508</v>
      </c>
      <c r="DS65" s="66">
        <v>80000</v>
      </c>
      <c r="DT65" s="290" t="s">
        <v>36</v>
      </c>
    </row>
    <row r="66" spans="33:124" ht="15" customHeight="1" hidden="1">
      <c r="AG66" s="201">
        <v>24</v>
      </c>
      <c r="AH66" s="42" t="s">
        <v>779</v>
      </c>
      <c r="AI66" s="41" t="s">
        <v>774</v>
      </c>
      <c r="BI66" s="42"/>
      <c r="BJ66" s="42"/>
      <c r="BK66" s="42"/>
      <c r="BL66" s="42"/>
      <c r="BM66" s="42" t="s">
        <v>356</v>
      </c>
      <c r="BN66" s="42"/>
      <c r="BO66" s="151">
        <v>64</v>
      </c>
      <c r="BP66" s="3" t="s">
        <v>484</v>
      </c>
      <c r="BQ66" s="38">
        <v>6</v>
      </c>
      <c r="BR66" s="38">
        <v>3</v>
      </c>
      <c r="BS66" s="38">
        <v>3</v>
      </c>
      <c r="BT66" s="38">
        <v>8</v>
      </c>
      <c r="BU66" s="20" t="s">
        <v>151</v>
      </c>
      <c r="BV66" s="67">
        <v>90000</v>
      </c>
      <c r="BW66" s="67" t="s">
        <v>73</v>
      </c>
      <c r="BX66" s="67" t="s">
        <v>68</v>
      </c>
      <c r="BY66" s="67">
        <v>2</v>
      </c>
      <c r="BZ66" s="271"/>
      <c r="CA66" s="22"/>
      <c r="CC66" s="18"/>
      <c r="CD66" s="18"/>
      <c r="CE66" s="18"/>
      <c r="CF66" s="18"/>
      <c r="CG66" s="22"/>
      <c r="CH66" s="18"/>
      <c r="CI66" s="36"/>
      <c r="CJ66" s="18"/>
      <c r="CK66" s="22"/>
      <c r="DL66" s="151">
        <v>64</v>
      </c>
      <c r="DM66" s="64" t="s">
        <v>656</v>
      </c>
      <c r="DN66" s="38">
        <v>6</v>
      </c>
      <c r="DO66" s="38">
        <v>3</v>
      </c>
      <c r="DP66" s="38">
        <v>3</v>
      </c>
      <c r="DQ66" s="38">
        <v>7</v>
      </c>
      <c r="DR66" s="20" t="s">
        <v>727</v>
      </c>
      <c r="DS66" s="67">
        <v>100000</v>
      </c>
      <c r="DT66" s="291"/>
    </row>
    <row r="67" spans="33:124" ht="15" customHeight="1" hidden="1">
      <c r="AG67" s="201">
        <v>25</v>
      </c>
      <c r="AH67" s="42" t="s">
        <v>780</v>
      </c>
      <c r="AI67" s="41" t="s">
        <v>774</v>
      </c>
      <c r="BM67" s="42" t="s">
        <v>352</v>
      </c>
      <c r="BO67" s="151">
        <v>65</v>
      </c>
      <c r="BP67" s="3" t="s">
        <v>161</v>
      </c>
      <c r="BQ67" s="38">
        <v>4</v>
      </c>
      <c r="BR67" s="38">
        <v>4</v>
      </c>
      <c r="BS67" s="38">
        <v>2</v>
      </c>
      <c r="BT67" s="38">
        <v>9</v>
      </c>
      <c r="BU67" s="20" t="s">
        <v>163</v>
      </c>
      <c r="BV67" s="67">
        <v>110000</v>
      </c>
      <c r="BW67" s="67" t="s">
        <v>73</v>
      </c>
      <c r="BX67" s="67" t="s">
        <v>68</v>
      </c>
      <c r="BY67" s="67">
        <v>2</v>
      </c>
      <c r="BZ67" s="271"/>
      <c r="CA67" s="22"/>
      <c r="CC67" s="18"/>
      <c r="CD67" s="18"/>
      <c r="CE67" s="18"/>
      <c r="CF67" s="18"/>
      <c r="CG67" s="22"/>
      <c r="CH67" s="18"/>
      <c r="CI67" s="36"/>
      <c r="CJ67" s="18"/>
      <c r="CK67" s="22"/>
      <c r="DL67" s="151">
        <v>65</v>
      </c>
      <c r="DM67" s="64" t="s">
        <v>657</v>
      </c>
      <c r="DN67" s="38">
        <v>7</v>
      </c>
      <c r="DO67" s="38">
        <v>3</v>
      </c>
      <c r="DP67" s="38">
        <v>3</v>
      </c>
      <c r="DQ67" s="38">
        <v>7</v>
      </c>
      <c r="DR67" s="20" t="s">
        <v>728</v>
      </c>
      <c r="DS67" s="67">
        <v>120000</v>
      </c>
      <c r="DT67" s="291"/>
    </row>
    <row r="68" spans="33:124" ht="15" customHeight="1" hidden="1">
      <c r="AG68" s="201">
        <v>26</v>
      </c>
      <c r="AH68" s="42" t="s">
        <v>781</v>
      </c>
      <c r="AI68" s="41" t="s">
        <v>774</v>
      </c>
      <c r="BO68" s="151">
        <v>66</v>
      </c>
      <c r="BP68" s="59" t="s">
        <v>162</v>
      </c>
      <c r="BQ68" s="69">
        <v>8</v>
      </c>
      <c r="BR68" s="69">
        <v>3</v>
      </c>
      <c r="BS68" s="69">
        <v>3</v>
      </c>
      <c r="BT68" s="69">
        <v>8</v>
      </c>
      <c r="BU68" s="61" t="s">
        <v>164</v>
      </c>
      <c r="BV68" s="70">
        <v>120000</v>
      </c>
      <c r="BW68" s="70" t="s">
        <v>69</v>
      </c>
      <c r="BX68" s="70" t="s">
        <v>72</v>
      </c>
      <c r="BY68" s="70">
        <v>2</v>
      </c>
      <c r="BZ68" s="272"/>
      <c r="CA68" s="22"/>
      <c r="CC68" s="18"/>
      <c r="CD68" s="18"/>
      <c r="CE68" s="18"/>
      <c r="CF68" s="18"/>
      <c r="CG68" s="22"/>
      <c r="CH68" s="18"/>
      <c r="CI68" s="36"/>
      <c r="CJ68" s="18"/>
      <c r="CK68" s="22"/>
      <c r="DL68" s="151">
        <v>66</v>
      </c>
      <c r="DM68" s="3" t="s">
        <v>658</v>
      </c>
      <c r="DN68" s="38">
        <v>6</v>
      </c>
      <c r="DO68" s="38">
        <v>3</v>
      </c>
      <c r="DP68" s="38">
        <v>3</v>
      </c>
      <c r="DQ68" s="38">
        <v>7</v>
      </c>
      <c r="DR68" s="20" t="s">
        <v>729</v>
      </c>
      <c r="DS68" s="67">
        <v>120000</v>
      </c>
      <c r="DT68" s="291"/>
    </row>
    <row r="69" spans="33:124" ht="15" customHeight="1" hidden="1">
      <c r="AG69" s="201">
        <v>27</v>
      </c>
      <c r="AH69" s="42" t="s">
        <v>782</v>
      </c>
      <c r="AI69" s="41" t="s">
        <v>774</v>
      </c>
      <c r="BO69" s="151">
        <v>67</v>
      </c>
      <c r="BP69" s="63" t="s">
        <v>165</v>
      </c>
      <c r="BQ69" s="65">
        <v>6</v>
      </c>
      <c r="BR69" s="65">
        <v>3</v>
      </c>
      <c r="BS69" s="65">
        <v>3</v>
      </c>
      <c r="BT69" s="65">
        <v>7</v>
      </c>
      <c r="BU69" s="57" t="s">
        <v>94</v>
      </c>
      <c r="BV69" s="66">
        <v>50000</v>
      </c>
      <c r="BW69" s="66" t="s">
        <v>18</v>
      </c>
      <c r="BX69" s="66" t="s">
        <v>70</v>
      </c>
      <c r="BY69" s="66">
        <v>16</v>
      </c>
      <c r="BZ69" s="290" t="s">
        <v>36</v>
      </c>
      <c r="CA69" s="22"/>
      <c r="CC69" s="18"/>
      <c r="CD69" s="18"/>
      <c r="CE69" s="18"/>
      <c r="CF69" s="18"/>
      <c r="CG69" s="22"/>
      <c r="CH69" s="18"/>
      <c r="CI69" s="36"/>
      <c r="CJ69" s="18"/>
      <c r="CK69" s="22"/>
      <c r="DL69" s="151">
        <v>67</v>
      </c>
      <c r="DM69" s="3" t="s">
        <v>659</v>
      </c>
      <c r="DN69" s="38">
        <v>6</v>
      </c>
      <c r="DO69" s="38">
        <v>4</v>
      </c>
      <c r="DP69" s="38">
        <v>2</v>
      </c>
      <c r="DQ69" s="38">
        <v>8</v>
      </c>
      <c r="DR69" s="20" t="s">
        <v>730</v>
      </c>
      <c r="DS69" s="67">
        <v>140000</v>
      </c>
      <c r="DT69" s="291"/>
    </row>
    <row r="70" spans="33:124" ht="15" customHeight="1" hidden="1">
      <c r="AG70" s="201">
        <v>28</v>
      </c>
      <c r="AH70" s="203" t="s">
        <v>812</v>
      </c>
      <c r="BO70" s="151">
        <v>68</v>
      </c>
      <c r="BP70" s="64" t="s">
        <v>166</v>
      </c>
      <c r="BQ70" s="38">
        <v>6</v>
      </c>
      <c r="BR70" s="38">
        <v>3</v>
      </c>
      <c r="BS70" s="38">
        <v>3</v>
      </c>
      <c r="BT70" s="38">
        <v>7</v>
      </c>
      <c r="BU70" s="20" t="s">
        <v>167</v>
      </c>
      <c r="BV70" s="67">
        <v>70000</v>
      </c>
      <c r="BW70" s="67" t="s">
        <v>67</v>
      </c>
      <c r="BX70" s="67" t="s">
        <v>71</v>
      </c>
      <c r="BY70" s="67">
        <v>2</v>
      </c>
      <c r="BZ70" s="291"/>
      <c r="CA70" s="22"/>
      <c r="CC70" s="18"/>
      <c r="CD70" s="18"/>
      <c r="CE70" s="18"/>
      <c r="CF70" s="18"/>
      <c r="CG70" s="22"/>
      <c r="CH70" s="18"/>
      <c r="CI70" s="36"/>
      <c r="CJ70" s="18"/>
      <c r="CK70" s="22"/>
      <c r="DL70" s="151">
        <v>68</v>
      </c>
      <c r="DM70" s="59" t="s">
        <v>660</v>
      </c>
      <c r="DN70" s="69">
        <v>5</v>
      </c>
      <c r="DO70" s="69">
        <v>5</v>
      </c>
      <c r="DP70" s="69">
        <v>1</v>
      </c>
      <c r="DQ70" s="69">
        <v>8</v>
      </c>
      <c r="DR70" s="61" t="s">
        <v>171</v>
      </c>
      <c r="DS70" s="70">
        <v>170000</v>
      </c>
      <c r="DT70" s="292"/>
    </row>
    <row r="71" spans="33:124" ht="15" customHeight="1" hidden="1">
      <c r="AG71" s="201">
        <v>29</v>
      </c>
      <c r="AH71" s="42" t="s">
        <v>784</v>
      </c>
      <c r="AI71" s="41" t="s">
        <v>783</v>
      </c>
      <c r="BO71" s="151">
        <v>69</v>
      </c>
      <c r="BP71" s="64" t="s">
        <v>400</v>
      </c>
      <c r="BQ71" s="38">
        <v>7</v>
      </c>
      <c r="BR71" s="38">
        <v>3</v>
      </c>
      <c r="BS71" s="38">
        <v>3</v>
      </c>
      <c r="BT71" s="38">
        <v>7</v>
      </c>
      <c r="BU71" s="20" t="s">
        <v>168</v>
      </c>
      <c r="BV71" s="67">
        <v>90000</v>
      </c>
      <c r="BW71" s="67" t="s">
        <v>69</v>
      </c>
      <c r="BX71" s="67" t="s">
        <v>72</v>
      </c>
      <c r="BY71" s="67">
        <v>2</v>
      </c>
      <c r="BZ71" s="291"/>
      <c r="CA71" s="22"/>
      <c r="CC71" s="18"/>
      <c r="CD71" s="18"/>
      <c r="CE71" s="18"/>
      <c r="CF71" s="18"/>
      <c r="CG71" s="22"/>
      <c r="CH71" s="18"/>
      <c r="CI71" s="36"/>
      <c r="CJ71" s="18"/>
      <c r="CK71" s="22"/>
      <c r="DL71" s="151">
        <v>69</v>
      </c>
      <c r="DM71" s="55" t="s">
        <v>661</v>
      </c>
      <c r="DN71" s="65">
        <v>5</v>
      </c>
      <c r="DO71" s="65">
        <v>3</v>
      </c>
      <c r="DP71" s="65">
        <v>3</v>
      </c>
      <c r="DQ71" s="65">
        <v>8</v>
      </c>
      <c r="DR71" s="57" t="s">
        <v>510</v>
      </c>
      <c r="DS71" s="66">
        <v>70000</v>
      </c>
      <c r="DT71" s="270" t="s">
        <v>51</v>
      </c>
    </row>
    <row r="72" spans="33:124" ht="15" customHeight="1" hidden="1">
      <c r="AG72" s="201">
        <v>30</v>
      </c>
      <c r="AH72" s="42" t="s">
        <v>95</v>
      </c>
      <c r="AI72" s="41" t="s">
        <v>783</v>
      </c>
      <c r="BO72" s="151">
        <v>70</v>
      </c>
      <c r="BP72" s="3" t="s">
        <v>401</v>
      </c>
      <c r="BQ72" s="38">
        <v>6</v>
      </c>
      <c r="BR72" s="38">
        <v>3</v>
      </c>
      <c r="BS72" s="38">
        <v>3</v>
      </c>
      <c r="BT72" s="38">
        <v>7</v>
      </c>
      <c r="BU72" s="20" t="s">
        <v>169</v>
      </c>
      <c r="BV72" s="67">
        <v>90000</v>
      </c>
      <c r="BW72" s="67" t="s">
        <v>73</v>
      </c>
      <c r="BX72" s="67" t="s">
        <v>68</v>
      </c>
      <c r="BY72" s="67">
        <v>2</v>
      </c>
      <c r="BZ72" s="291"/>
      <c r="CA72" s="22"/>
      <c r="CC72" s="18"/>
      <c r="CD72" s="18"/>
      <c r="CE72" s="18"/>
      <c r="CF72" s="18"/>
      <c r="CG72" s="22"/>
      <c r="CH72" s="18"/>
      <c r="CI72" s="36"/>
      <c r="CJ72" s="18"/>
      <c r="CK72" s="22"/>
      <c r="DL72" s="151">
        <v>70</v>
      </c>
      <c r="DM72" s="3" t="s">
        <v>662</v>
      </c>
      <c r="DN72" s="38">
        <v>6</v>
      </c>
      <c r="DO72" s="38">
        <v>3</v>
      </c>
      <c r="DP72" s="38">
        <v>3</v>
      </c>
      <c r="DQ72" s="38">
        <v>8</v>
      </c>
      <c r="DR72" s="20" t="s">
        <v>731</v>
      </c>
      <c r="DS72" s="67">
        <v>110000</v>
      </c>
      <c r="DT72" s="271"/>
    </row>
    <row r="73" spans="33:124" ht="15" customHeight="1" hidden="1">
      <c r="AG73" s="201">
        <v>31</v>
      </c>
      <c r="AH73" s="42" t="s">
        <v>785</v>
      </c>
      <c r="AI73" s="41" t="s">
        <v>783</v>
      </c>
      <c r="BO73" s="151">
        <v>71</v>
      </c>
      <c r="BP73" s="3" t="s">
        <v>402</v>
      </c>
      <c r="BQ73" s="38">
        <v>6</v>
      </c>
      <c r="BR73" s="38">
        <v>4</v>
      </c>
      <c r="BS73" s="38">
        <v>2</v>
      </c>
      <c r="BT73" s="38">
        <v>8</v>
      </c>
      <c r="BU73" s="20" t="s">
        <v>170</v>
      </c>
      <c r="BV73" s="67">
        <v>110000</v>
      </c>
      <c r="BW73" s="67" t="s">
        <v>73</v>
      </c>
      <c r="BX73" s="67" t="s">
        <v>68</v>
      </c>
      <c r="BY73" s="67">
        <v>2</v>
      </c>
      <c r="BZ73" s="291"/>
      <c r="CA73" s="22"/>
      <c r="CC73" s="18"/>
      <c r="CD73" s="18"/>
      <c r="CE73" s="18"/>
      <c r="CF73" s="18"/>
      <c r="CG73" s="22"/>
      <c r="CH73" s="18"/>
      <c r="CI73" s="36"/>
      <c r="CJ73" s="18"/>
      <c r="CK73" s="22"/>
      <c r="DL73" s="151">
        <v>71</v>
      </c>
      <c r="DM73" s="3" t="s">
        <v>663</v>
      </c>
      <c r="DN73" s="38">
        <v>4</v>
      </c>
      <c r="DO73" s="38">
        <v>4</v>
      </c>
      <c r="DP73" s="38">
        <v>2</v>
      </c>
      <c r="DQ73" s="38">
        <v>9</v>
      </c>
      <c r="DR73" s="20" t="s">
        <v>732</v>
      </c>
      <c r="DS73" s="67">
        <v>140000</v>
      </c>
      <c r="DT73" s="271"/>
    </row>
    <row r="74" spans="33:124" ht="15" customHeight="1" hidden="1">
      <c r="AG74" s="201">
        <v>32</v>
      </c>
      <c r="AH74" s="42" t="s">
        <v>786</v>
      </c>
      <c r="AI74" s="41" t="s">
        <v>783</v>
      </c>
      <c r="BO74" s="151">
        <v>72</v>
      </c>
      <c r="BP74" s="59" t="s">
        <v>403</v>
      </c>
      <c r="BQ74" s="69">
        <v>5</v>
      </c>
      <c r="BR74" s="69">
        <v>5</v>
      </c>
      <c r="BS74" s="69">
        <v>1</v>
      </c>
      <c r="BT74" s="69">
        <v>8</v>
      </c>
      <c r="BU74" s="61" t="s">
        <v>171</v>
      </c>
      <c r="BV74" s="70">
        <v>140000</v>
      </c>
      <c r="BW74" s="70" t="s">
        <v>92</v>
      </c>
      <c r="BX74" s="70" t="s">
        <v>29</v>
      </c>
      <c r="BY74" s="70">
        <v>1</v>
      </c>
      <c r="BZ74" s="292"/>
      <c r="CA74" s="22"/>
      <c r="CC74" s="18"/>
      <c r="CD74" s="18"/>
      <c r="CE74" s="18"/>
      <c r="CF74" s="18"/>
      <c r="CG74" s="22"/>
      <c r="CH74" s="18"/>
      <c r="CI74" s="36"/>
      <c r="CJ74" s="18"/>
      <c r="CK74" s="22"/>
      <c r="DL74" s="151">
        <v>72</v>
      </c>
      <c r="DM74" s="59" t="s">
        <v>664</v>
      </c>
      <c r="DN74" s="69">
        <v>4</v>
      </c>
      <c r="DO74" s="69">
        <v>5</v>
      </c>
      <c r="DP74" s="69">
        <v>1</v>
      </c>
      <c r="DQ74" s="69">
        <v>9</v>
      </c>
      <c r="DR74" s="61" t="s">
        <v>179</v>
      </c>
      <c r="DS74" s="70">
        <v>170000</v>
      </c>
      <c r="DT74" s="272"/>
    </row>
    <row r="75" spans="33:124" ht="15" customHeight="1" hidden="1">
      <c r="AG75" s="201">
        <v>33</v>
      </c>
      <c r="AH75" s="42" t="s">
        <v>787</v>
      </c>
      <c r="AI75" s="41" t="s">
        <v>783</v>
      </c>
      <c r="BO75" s="151">
        <v>73</v>
      </c>
      <c r="BP75" s="55" t="s">
        <v>172</v>
      </c>
      <c r="BQ75" s="65">
        <v>5</v>
      </c>
      <c r="BR75" s="65">
        <v>3</v>
      </c>
      <c r="BS75" s="65">
        <v>3</v>
      </c>
      <c r="BT75" s="65">
        <v>8</v>
      </c>
      <c r="BU75" s="57" t="s">
        <v>176</v>
      </c>
      <c r="BV75" s="66">
        <v>40000</v>
      </c>
      <c r="BW75" s="66" t="s">
        <v>45</v>
      </c>
      <c r="BX75" s="66" t="s">
        <v>70</v>
      </c>
      <c r="BY75" s="66">
        <v>16</v>
      </c>
      <c r="BZ75" s="270" t="s">
        <v>51</v>
      </c>
      <c r="CA75" s="22"/>
      <c r="CC75" s="18"/>
      <c r="CD75" s="18"/>
      <c r="CE75" s="18"/>
      <c r="CF75" s="18"/>
      <c r="CG75" s="22"/>
      <c r="CH75" s="18"/>
      <c r="CI75" s="36"/>
      <c r="CJ75" s="18"/>
      <c r="CK75" s="22"/>
      <c r="DL75" s="151">
        <v>73</v>
      </c>
      <c r="DM75" s="55" t="s">
        <v>665</v>
      </c>
      <c r="DN75" s="65">
        <v>5</v>
      </c>
      <c r="DO75" s="65">
        <v>1</v>
      </c>
      <c r="DP75" s="65">
        <v>3</v>
      </c>
      <c r="DQ75" s="65">
        <v>5</v>
      </c>
      <c r="DR75" s="57" t="s">
        <v>512</v>
      </c>
      <c r="DS75" s="66">
        <v>50000</v>
      </c>
      <c r="DT75" s="290" t="s">
        <v>48</v>
      </c>
    </row>
    <row r="76" spans="33:124" ht="15" customHeight="1" hidden="1">
      <c r="AG76" s="201">
        <v>34</v>
      </c>
      <c r="AH76" s="42" t="s">
        <v>121</v>
      </c>
      <c r="AI76" s="41" t="s">
        <v>783</v>
      </c>
      <c r="BO76" s="151">
        <v>74</v>
      </c>
      <c r="BP76" s="3" t="s">
        <v>173</v>
      </c>
      <c r="BQ76" s="38">
        <v>6</v>
      </c>
      <c r="BR76" s="38">
        <v>3</v>
      </c>
      <c r="BS76" s="38">
        <v>3</v>
      </c>
      <c r="BT76" s="38">
        <v>8</v>
      </c>
      <c r="BU76" s="20" t="s">
        <v>177</v>
      </c>
      <c r="BV76" s="67">
        <v>80000</v>
      </c>
      <c r="BW76" s="67" t="s">
        <v>84</v>
      </c>
      <c r="BX76" s="67" t="s">
        <v>68</v>
      </c>
      <c r="BY76" s="67">
        <v>4</v>
      </c>
      <c r="BZ76" s="271"/>
      <c r="CA76" s="22"/>
      <c r="CC76" s="18"/>
      <c r="CD76" s="18"/>
      <c r="CE76" s="18"/>
      <c r="CF76" s="18"/>
      <c r="CG76" s="22"/>
      <c r="CH76" s="18"/>
      <c r="CI76" s="36"/>
      <c r="CJ76" s="18"/>
      <c r="CK76" s="22"/>
      <c r="DL76" s="151">
        <v>74</v>
      </c>
      <c r="DM76" s="59" t="s">
        <v>666</v>
      </c>
      <c r="DN76" s="69">
        <v>5</v>
      </c>
      <c r="DO76" s="69">
        <v>5</v>
      </c>
      <c r="DP76" s="69">
        <v>2</v>
      </c>
      <c r="DQ76" s="69">
        <v>9</v>
      </c>
      <c r="DR76" s="61" t="s">
        <v>146</v>
      </c>
      <c r="DS76" s="70">
        <v>170000</v>
      </c>
      <c r="DT76" s="292"/>
    </row>
    <row r="77" spans="33:124" ht="15" customHeight="1" hidden="1">
      <c r="AG77" s="201">
        <v>35</v>
      </c>
      <c r="AH77" s="42" t="s">
        <v>788</v>
      </c>
      <c r="AI77" s="41" t="s">
        <v>783</v>
      </c>
      <c r="BO77" s="151">
        <v>75</v>
      </c>
      <c r="BP77" s="3" t="s">
        <v>174</v>
      </c>
      <c r="BQ77" s="38">
        <v>4</v>
      </c>
      <c r="BR77" s="38">
        <v>4</v>
      </c>
      <c r="BS77" s="38">
        <v>2</v>
      </c>
      <c r="BT77" s="38">
        <v>9</v>
      </c>
      <c r="BU77" s="20" t="s">
        <v>178</v>
      </c>
      <c r="BV77" s="67">
        <v>110000</v>
      </c>
      <c r="BW77" s="67" t="s">
        <v>84</v>
      </c>
      <c r="BX77" s="67" t="s">
        <v>68</v>
      </c>
      <c r="BY77" s="67">
        <v>4</v>
      </c>
      <c r="BZ77" s="271"/>
      <c r="CA77" s="22"/>
      <c r="CC77" s="18"/>
      <c r="CD77" s="18"/>
      <c r="CE77" s="18"/>
      <c r="CF77" s="18"/>
      <c r="CG77" s="22"/>
      <c r="CH77" s="18"/>
      <c r="CI77" s="36"/>
      <c r="CJ77" s="18"/>
      <c r="CK77" s="22"/>
      <c r="DL77" s="151">
        <v>75</v>
      </c>
      <c r="DM77" s="55" t="s">
        <v>667</v>
      </c>
      <c r="DN77" s="65">
        <v>5</v>
      </c>
      <c r="DO77" s="65">
        <v>3</v>
      </c>
      <c r="DP77" s="65">
        <v>3</v>
      </c>
      <c r="DQ77" s="65">
        <v>9</v>
      </c>
      <c r="DR77" s="57" t="s">
        <v>491</v>
      </c>
      <c r="DS77" s="66">
        <v>80000</v>
      </c>
      <c r="DT77" s="270" t="s">
        <v>184</v>
      </c>
    </row>
    <row r="78" spans="33:124" ht="15" customHeight="1" hidden="1">
      <c r="AG78" s="201">
        <v>36</v>
      </c>
      <c r="AH78" s="203" t="s">
        <v>813</v>
      </c>
      <c r="BO78" s="151">
        <v>76</v>
      </c>
      <c r="BP78" s="59" t="s">
        <v>175</v>
      </c>
      <c r="BQ78" s="69">
        <v>4</v>
      </c>
      <c r="BR78" s="69">
        <v>5</v>
      </c>
      <c r="BS78" s="69">
        <v>1</v>
      </c>
      <c r="BT78" s="69">
        <v>9</v>
      </c>
      <c r="BU78" s="61" t="s">
        <v>179</v>
      </c>
      <c r="BV78" s="70">
        <v>140000</v>
      </c>
      <c r="BW78" s="70" t="s">
        <v>92</v>
      </c>
      <c r="BX78" s="70" t="s">
        <v>7</v>
      </c>
      <c r="BY78" s="70">
        <v>1</v>
      </c>
      <c r="BZ78" s="272"/>
      <c r="CA78" s="22"/>
      <c r="CC78" s="18"/>
      <c r="CD78" s="18"/>
      <c r="CE78" s="18"/>
      <c r="CF78" s="18"/>
      <c r="CG78" s="22"/>
      <c r="CH78" s="18"/>
      <c r="CI78" s="36"/>
      <c r="CJ78" s="18"/>
      <c r="CK78" s="22"/>
      <c r="DL78" s="151">
        <v>76</v>
      </c>
      <c r="DM78" s="14" t="s">
        <v>668</v>
      </c>
      <c r="DN78" s="19">
        <v>6</v>
      </c>
      <c r="DO78" s="19">
        <v>2</v>
      </c>
      <c r="DP78" s="19">
        <v>3</v>
      </c>
      <c r="DQ78" s="19">
        <v>7</v>
      </c>
      <c r="DR78" s="21" t="s">
        <v>520</v>
      </c>
      <c r="DS78" s="18">
        <v>70000</v>
      </c>
      <c r="DT78" s="271"/>
    </row>
    <row r="79" spans="33:124" ht="15" customHeight="1" hidden="1">
      <c r="AG79" s="201">
        <v>37</v>
      </c>
      <c r="AH79" s="42" t="s">
        <v>790</v>
      </c>
      <c r="AI79" s="203" t="s">
        <v>789</v>
      </c>
      <c r="BO79" s="151">
        <v>77</v>
      </c>
      <c r="BP79" s="55" t="s">
        <v>16</v>
      </c>
      <c r="BQ79" s="65">
        <v>5</v>
      </c>
      <c r="BR79" s="65">
        <v>1</v>
      </c>
      <c r="BS79" s="65">
        <v>3</v>
      </c>
      <c r="BT79" s="65">
        <v>5</v>
      </c>
      <c r="BU79" s="57" t="s">
        <v>181</v>
      </c>
      <c r="BV79" s="66">
        <v>20000</v>
      </c>
      <c r="BW79" s="66" t="s">
        <v>43</v>
      </c>
      <c r="BX79" s="66" t="s">
        <v>129</v>
      </c>
      <c r="BY79" s="66">
        <v>16</v>
      </c>
      <c r="BZ79" s="290" t="s">
        <v>48</v>
      </c>
      <c r="CA79" s="22"/>
      <c r="CC79" s="18"/>
      <c r="CD79" s="18"/>
      <c r="CE79" s="18"/>
      <c r="CF79" s="18"/>
      <c r="CG79" s="22"/>
      <c r="CH79" s="18"/>
      <c r="CI79" s="36"/>
      <c r="CJ79" s="18"/>
      <c r="CK79" s="22"/>
      <c r="DL79" s="151">
        <v>77</v>
      </c>
      <c r="DM79" s="3" t="s">
        <v>669</v>
      </c>
      <c r="DN79" s="38">
        <v>5</v>
      </c>
      <c r="DO79" s="38">
        <v>3</v>
      </c>
      <c r="DP79" s="38">
        <v>3</v>
      </c>
      <c r="DQ79" s="38">
        <v>8</v>
      </c>
      <c r="DR79" s="20" t="s">
        <v>721</v>
      </c>
      <c r="DS79" s="67">
        <v>100000</v>
      </c>
      <c r="DT79" s="271"/>
    </row>
    <row r="80" spans="33:124" ht="15" customHeight="1" hidden="1">
      <c r="AG80" s="201">
        <v>38</v>
      </c>
      <c r="AH80" s="42" t="s">
        <v>791</v>
      </c>
      <c r="AI80" s="203" t="s">
        <v>789</v>
      </c>
      <c r="BO80" s="151">
        <v>78</v>
      </c>
      <c r="BP80" s="59" t="s">
        <v>182</v>
      </c>
      <c r="BQ80" s="69">
        <v>5</v>
      </c>
      <c r="BR80" s="69">
        <v>5</v>
      </c>
      <c r="BS80" s="69">
        <v>2</v>
      </c>
      <c r="BT80" s="69">
        <v>9</v>
      </c>
      <c r="BU80" s="61" t="s">
        <v>183</v>
      </c>
      <c r="BV80" s="70">
        <v>140000</v>
      </c>
      <c r="BW80" s="70" t="s">
        <v>92</v>
      </c>
      <c r="BX80" s="70" t="s">
        <v>29</v>
      </c>
      <c r="BY80" s="70">
        <v>6</v>
      </c>
      <c r="BZ80" s="292"/>
      <c r="CA80" s="22"/>
      <c r="CC80" s="18"/>
      <c r="CD80" s="18"/>
      <c r="CE80" s="18"/>
      <c r="CF80" s="18"/>
      <c r="CG80" s="22"/>
      <c r="CH80" s="18"/>
      <c r="CI80" s="36"/>
      <c r="CJ80" s="18"/>
      <c r="CK80" s="22"/>
      <c r="DL80" s="151">
        <v>78</v>
      </c>
      <c r="DM80" s="3" t="s">
        <v>670</v>
      </c>
      <c r="DN80" s="38">
        <v>4</v>
      </c>
      <c r="DO80" s="38">
        <v>4</v>
      </c>
      <c r="DP80" s="38">
        <v>2</v>
      </c>
      <c r="DQ80" s="38">
        <v>9</v>
      </c>
      <c r="DR80" s="20" t="s">
        <v>491</v>
      </c>
      <c r="DS80" s="67">
        <v>110000</v>
      </c>
      <c r="DT80" s="271"/>
    </row>
    <row r="81" spans="33:124" ht="15" customHeight="1" hidden="1">
      <c r="AG81" s="201">
        <v>39</v>
      </c>
      <c r="AH81" s="42" t="s">
        <v>792</v>
      </c>
      <c r="AI81" s="203" t="s">
        <v>789</v>
      </c>
      <c r="BO81" s="151">
        <v>79</v>
      </c>
      <c r="BP81" s="55" t="s">
        <v>185</v>
      </c>
      <c r="BQ81" s="65">
        <v>5</v>
      </c>
      <c r="BR81" s="65">
        <v>3</v>
      </c>
      <c r="BS81" s="65">
        <v>3</v>
      </c>
      <c r="BT81" s="65">
        <v>9</v>
      </c>
      <c r="BU81" s="57"/>
      <c r="BV81" s="66">
        <v>50000</v>
      </c>
      <c r="BW81" s="66" t="s">
        <v>18</v>
      </c>
      <c r="BX81" s="66" t="s">
        <v>70</v>
      </c>
      <c r="BY81" s="66">
        <v>16</v>
      </c>
      <c r="BZ81" s="270" t="s">
        <v>184</v>
      </c>
      <c r="CA81" s="22"/>
      <c r="CC81" s="18"/>
      <c r="CD81" s="18"/>
      <c r="CE81" s="18"/>
      <c r="CF81" s="18"/>
      <c r="CG81" s="22"/>
      <c r="CH81" s="18"/>
      <c r="CI81" s="36"/>
      <c r="CJ81" s="18"/>
      <c r="CK81" s="22"/>
      <c r="DL81" s="151">
        <v>79</v>
      </c>
      <c r="DM81" s="3" t="s">
        <v>671</v>
      </c>
      <c r="DN81" s="38">
        <v>6</v>
      </c>
      <c r="DO81" s="38">
        <v>3</v>
      </c>
      <c r="DP81" s="38">
        <v>3</v>
      </c>
      <c r="DQ81" s="38">
        <v>9</v>
      </c>
      <c r="DR81" s="20" t="s">
        <v>508</v>
      </c>
      <c r="DS81" s="67">
        <v>110000</v>
      </c>
      <c r="DT81" s="271"/>
    </row>
    <row r="82" spans="33:124" ht="15" customHeight="1" hidden="1">
      <c r="AG82" s="201">
        <v>40</v>
      </c>
      <c r="AH82" s="42" t="s">
        <v>793</v>
      </c>
      <c r="AI82" s="203" t="s">
        <v>789</v>
      </c>
      <c r="BN82" s="149"/>
      <c r="BO82" s="151">
        <v>80</v>
      </c>
      <c r="BP82" s="14" t="s">
        <v>480</v>
      </c>
      <c r="BQ82" s="19">
        <v>6</v>
      </c>
      <c r="BR82" s="19">
        <v>2</v>
      </c>
      <c r="BS82" s="19">
        <v>3</v>
      </c>
      <c r="BT82" s="19">
        <v>7</v>
      </c>
      <c r="BU82" s="21" t="s">
        <v>475</v>
      </c>
      <c r="BV82" s="18">
        <v>40000</v>
      </c>
      <c r="BW82" s="18" t="s">
        <v>43</v>
      </c>
      <c r="BX82" s="18" t="s">
        <v>129</v>
      </c>
      <c r="BY82" s="18">
        <v>4</v>
      </c>
      <c r="BZ82" s="271"/>
      <c r="CA82" s="22"/>
      <c r="CC82" s="18"/>
      <c r="CD82" s="18"/>
      <c r="CE82" s="18"/>
      <c r="CF82" s="18"/>
      <c r="CG82" s="22"/>
      <c r="CH82" s="18"/>
      <c r="CI82" s="36"/>
      <c r="CJ82" s="18"/>
      <c r="CK82" s="22"/>
      <c r="DL82" s="151">
        <v>80</v>
      </c>
      <c r="DM82" s="3" t="s">
        <v>672</v>
      </c>
      <c r="DN82" s="38">
        <v>4</v>
      </c>
      <c r="DO82" s="38">
        <v>5</v>
      </c>
      <c r="DP82" s="38">
        <v>1</v>
      </c>
      <c r="DQ82" s="38">
        <v>9</v>
      </c>
      <c r="DR82" s="20" t="s">
        <v>128</v>
      </c>
      <c r="DS82" s="67">
        <v>140000</v>
      </c>
      <c r="DT82" s="272"/>
    </row>
    <row r="83" spans="33:124" ht="15" customHeight="1" hidden="1">
      <c r="AG83" s="201">
        <v>41</v>
      </c>
      <c r="AH83" s="42" t="s">
        <v>794</v>
      </c>
      <c r="AI83" s="203" t="s">
        <v>789</v>
      </c>
      <c r="BN83" s="149"/>
      <c r="BO83" s="151">
        <v>81</v>
      </c>
      <c r="BP83" s="3" t="s">
        <v>186</v>
      </c>
      <c r="BQ83" s="38">
        <v>5</v>
      </c>
      <c r="BR83" s="38">
        <v>3</v>
      </c>
      <c r="BS83" s="38">
        <v>3</v>
      </c>
      <c r="BT83" s="38">
        <v>8</v>
      </c>
      <c r="BU83" s="20" t="s">
        <v>145</v>
      </c>
      <c r="BV83" s="67">
        <v>70000</v>
      </c>
      <c r="BW83" s="67" t="s">
        <v>67</v>
      </c>
      <c r="BX83" s="67" t="s">
        <v>71</v>
      </c>
      <c r="BY83" s="67">
        <v>2</v>
      </c>
      <c r="BZ83" s="271"/>
      <c r="CA83" s="22"/>
      <c r="CC83" s="18"/>
      <c r="CD83" s="18"/>
      <c r="CE83" s="18"/>
      <c r="CF83" s="18"/>
      <c r="CG83" s="22"/>
      <c r="CH83" s="18"/>
      <c r="CI83" s="36"/>
      <c r="CJ83" s="18"/>
      <c r="CK83" s="22"/>
      <c r="DL83" s="151">
        <v>81</v>
      </c>
      <c r="DM83" s="55" t="s">
        <v>673</v>
      </c>
      <c r="DN83" s="65">
        <v>7</v>
      </c>
      <c r="DO83" s="65">
        <v>3</v>
      </c>
      <c r="DP83" s="65">
        <v>3</v>
      </c>
      <c r="DQ83" s="65">
        <v>7</v>
      </c>
      <c r="DR83" s="57" t="s">
        <v>491</v>
      </c>
      <c r="DS83" s="66">
        <v>80000</v>
      </c>
      <c r="DT83" s="290" t="s">
        <v>37</v>
      </c>
    </row>
    <row r="84" spans="33:124" ht="15" customHeight="1" hidden="1">
      <c r="AG84" s="201">
        <v>42</v>
      </c>
      <c r="AH84" s="42" t="s">
        <v>795</v>
      </c>
      <c r="AI84" s="203" t="s">
        <v>789</v>
      </c>
      <c r="BM84" s="149"/>
      <c r="BN84" s="149"/>
      <c r="BO84" s="151">
        <v>82</v>
      </c>
      <c r="BP84" s="3" t="s">
        <v>188</v>
      </c>
      <c r="BQ84" s="38">
        <v>4</v>
      </c>
      <c r="BR84" s="38">
        <v>4</v>
      </c>
      <c r="BS84" s="38">
        <v>2</v>
      </c>
      <c r="BT84" s="38">
        <v>9</v>
      </c>
      <c r="BU84" s="20"/>
      <c r="BV84" s="67">
        <v>80000</v>
      </c>
      <c r="BW84" s="67" t="s">
        <v>73</v>
      </c>
      <c r="BX84" s="67" t="s">
        <v>68</v>
      </c>
      <c r="BY84" s="67">
        <v>4</v>
      </c>
      <c r="BZ84" s="271"/>
      <c r="CA84" s="22"/>
      <c r="CC84" s="18"/>
      <c r="CD84" s="18"/>
      <c r="CE84" s="18"/>
      <c r="CF84" s="18"/>
      <c r="CG84" s="22"/>
      <c r="CH84" s="18"/>
      <c r="CI84" s="36"/>
      <c r="CJ84" s="18"/>
      <c r="CK84" s="22"/>
      <c r="DL84" s="151">
        <v>82</v>
      </c>
      <c r="DM84" s="3" t="s">
        <v>674</v>
      </c>
      <c r="DN84" s="38">
        <v>7</v>
      </c>
      <c r="DO84" s="38">
        <v>3</v>
      </c>
      <c r="DP84" s="38">
        <v>3</v>
      </c>
      <c r="DQ84" s="38">
        <v>7</v>
      </c>
      <c r="DR84" s="20" t="s">
        <v>733</v>
      </c>
      <c r="DS84" s="67">
        <v>100000</v>
      </c>
      <c r="DT84" s="291"/>
    </row>
    <row r="85" spans="33:124" ht="15" customHeight="1" hidden="1">
      <c r="AG85" s="201">
        <v>43</v>
      </c>
      <c r="AH85" s="42" t="s">
        <v>796</v>
      </c>
      <c r="AI85" s="203" t="s">
        <v>789</v>
      </c>
      <c r="BM85" s="149"/>
      <c r="BN85" s="149"/>
      <c r="BO85" s="151">
        <v>83</v>
      </c>
      <c r="BP85" s="3" t="s">
        <v>187</v>
      </c>
      <c r="BQ85" s="38">
        <v>6</v>
      </c>
      <c r="BR85" s="38">
        <v>3</v>
      </c>
      <c r="BS85" s="38">
        <v>3</v>
      </c>
      <c r="BT85" s="38">
        <v>9</v>
      </c>
      <c r="BU85" s="20" t="s">
        <v>94</v>
      </c>
      <c r="BV85" s="67">
        <v>80000</v>
      </c>
      <c r="BW85" s="67" t="s">
        <v>73</v>
      </c>
      <c r="BX85" s="67" t="s">
        <v>68</v>
      </c>
      <c r="BY85" s="67">
        <v>4</v>
      </c>
      <c r="BZ85" s="271"/>
      <c r="CA85" s="22"/>
      <c r="CC85" s="18"/>
      <c r="CD85" s="18"/>
      <c r="CE85" s="18"/>
      <c r="CF85" s="18"/>
      <c r="CG85" s="22"/>
      <c r="CH85" s="18"/>
      <c r="CI85" s="36"/>
      <c r="CJ85" s="18"/>
      <c r="CK85" s="22"/>
      <c r="DL85" s="151">
        <v>83</v>
      </c>
      <c r="DM85" s="3" t="s">
        <v>675</v>
      </c>
      <c r="DN85" s="38">
        <v>9</v>
      </c>
      <c r="DO85" s="38">
        <v>2</v>
      </c>
      <c r="DP85" s="38">
        <v>4</v>
      </c>
      <c r="DQ85" s="38">
        <v>7</v>
      </c>
      <c r="DR85" s="20" t="s">
        <v>487</v>
      </c>
      <c r="DS85" s="67">
        <v>110000</v>
      </c>
      <c r="DT85" s="291"/>
    </row>
    <row r="86" spans="33:124" ht="15" customHeight="1" hidden="1">
      <c r="AG86" s="201">
        <v>44</v>
      </c>
      <c r="AH86" s="42" t="s">
        <v>797</v>
      </c>
      <c r="AI86" s="203" t="s">
        <v>789</v>
      </c>
      <c r="BM86" s="149"/>
      <c r="BN86" s="149"/>
      <c r="BO86" s="151">
        <v>84</v>
      </c>
      <c r="BP86" s="3" t="s">
        <v>481</v>
      </c>
      <c r="BQ86" s="38">
        <v>4</v>
      </c>
      <c r="BR86" s="38">
        <v>5</v>
      </c>
      <c r="BS86" s="38">
        <v>1</v>
      </c>
      <c r="BT86" s="38">
        <v>9</v>
      </c>
      <c r="BU86" s="20" t="s">
        <v>128</v>
      </c>
      <c r="BV86" s="67">
        <v>110000</v>
      </c>
      <c r="BW86" s="67" t="s">
        <v>92</v>
      </c>
      <c r="BX86" s="67" t="s">
        <v>29</v>
      </c>
      <c r="BY86" s="67">
        <v>1</v>
      </c>
      <c r="BZ86" s="272"/>
      <c r="CA86" s="22"/>
      <c r="CC86" s="18"/>
      <c r="CD86" s="18"/>
      <c r="CE86" s="18"/>
      <c r="CF86" s="18"/>
      <c r="CG86" s="22"/>
      <c r="CH86" s="18"/>
      <c r="CI86" s="36"/>
      <c r="CJ86" s="18"/>
      <c r="CK86" s="22"/>
      <c r="DL86" s="151">
        <v>84</v>
      </c>
      <c r="DM86" s="3" t="s">
        <v>676</v>
      </c>
      <c r="DN86" s="38">
        <v>7</v>
      </c>
      <c r="DO86" s="38">
        <v>3</v>
      </c>
      <c r="DP86" s="38">
        <v>3</v>
      </c>
      <c r="DQ86" s="38">
        <v>8</v>
      </c>
      <c r="DR86" s="20" t="s">
        <v>508</v>
      </c>
      <c r="DS86" s="67">
        <v>120000</v>
      </c>
      <c r="DT86" s="291"/>
    </row>
    <row r="87" spans="33:124" ht="15" customHeight="1" hidden="1">
      <c r="AG87" s="201">
        <v>45</v>
      </c>
      <c r="AH87" s="42" t="s">
        <v>799</v>
      </c>
      <c r="AI87" s="203" t="s">
        <v>789</v>
      </c>
      <c r="BM87" s="149"/>
      <c r="BO87" s="151">
        <v>85</v>
      </c>
      <c r="BP87" s="55" t="s">
        <v>189</v>
      </c>
      <c r="BQ87" s="65">
        <v>7</v>
      </c>
      <c r="BR87" s="65">
        <v>3</v>
      </c>
      <c r="BS87" s="65">
        <v>3</v>
      </c>
      <c r="BT87" s="65">
        <v>7</v>
      </c>
      <c r="BU87" s="57"/>
      <c r="BV87" s="66">
        <v>50000</v>
      </c>
      <c r="BW87" s="66" t="s">
        <v>18</v>
      </c>
      <c r="BX87" s="66" t="s">
        <v>194</v>
      </c>
      <c r="BY87" s="66">
        <v>16</v>
      </c>
      <c r="BZ87" s="290" t="s">
        <v>37</v>
      </c>
      <c r="CA87" s="22"/>
      <c r="CC87" s="18"/>
      <c r="CD87" s="18"/>
      <c r="CE87" s="18"/>
      <c r="CF87" s="18"/>
      <c r="CG87" s="22"/>
      <c r="CH87" s="18"/>
      <c r="CI87" s="36"/>
      <c r="CJ87" s="18"/>
      <c r="CK87" s="22"/>
      <c r="DL87" s="151">
        <v>85</v>
      </c>
      <c r="DM87" s="59" t="s">
        <v>677</v>
      </c>
      <c r="DN87" s="69">
        <v>6</v>
      </c>
      <c r="DO87" s="69">
        <v>5</v>
      </c>
      <c r="DP87" s="69">
        <v>2</v>
      </c>
      <c r="DQ87" s="69">
        <v>8</v>
      </c>
      <c r="DR87" s="61" t="s">
        <v>193</v>
      </c>
      <c r="DS87" s="70">
        <v>180000</v>
      </c>
      <c r="DT87" s="292"/>
    </row>
    <row r="88" spans="33:124" ht="15" customHeight="1" hidden="1">
      <c r="AG88" s="201">
        <v>46</v>
      </c>
      <c r="AH88" s="42" t="s">
        <v>798</v>
      </c>
      <c r="AI88" s="203" t="s">
        <v>789</v>
      </c>
      <c r="BM88" s="149"/>
      <c r="BO88" s="151">
        <v>86</v>
      </c>
      <c r="BP88" s="3" t="s">
        <v>190</v>
      </c>
      <c r="BQ88" s="38">
        <v>7</v>
      </c>
      <c r="BR88" s="38">
        <v>3</v>
      </c>
      <c r="BS88" s="38">
        <v>3</v>
      </c>
      <c r="BT88" s="38">
        <v>7</v>
      </c>
      <c r="BU88" s="20" t="s">
        <v>144</v>
      </c>
      <c r="BV88" s="67">
        <v>70000</v>
      </c>
      <c r="BW88" s="67" t="s">
        <v>67</v>
      </c>
      <c r="BX88" s="67" t="s">
        <v>195</v>
      </c>
      <c r="BY88" s="67">
        <v>2</v>
      </c>
      <c r="BZ88" s="291"/>
      <c r="CA88" s="22"/>
      <c r="CC88" s="18"/>
      <c r="CD88" s="18"/>
      <c r="CE88" s="18"/>
      <c r="CF88" s="18"/>
      <c r="CG88" s="22"/>
      <c r="CH88" s="18"/>
      <c r="CI88" s="36"/>
      <c r="CJ88" s="18"/>
      <c r="CK88" s="22"/>
      <c r="DL88" s="151">
        <v>86</v>
      </c>
      <c r="DM88" s="3" t="s">
        <v>678</v>
      </c>
      <c r="DN88" s="38">
        <v>6</v>
      </c>
      <c r="DO88" s="38">
        <v>3</v>
      </c>
      <c r="DP88" s="38">
        <v>3</v>
      </c>
      <c r="DQ88" s="38">
        <v>8</v>
      </c>
      <c r="DR88" s="20" t="s">
        <v>516</v>
      </c>
      <c r="DS88" s="67">
        <v>90000</v>
      </c>
      <c r="DT88" s="273" t="s">
        <v>374</v>
      </c>
    </row>
    <row r="89" spans="33:124" ht="15" customHeight="1" hidden="1">
      <c r="AG89" s="201">
        <v>47</v>
      </c>
      <c r="AH89" s="203" t="s">
        <v>814</v>
      </c>
      <c r="BM89" s="149"/>
      <c r="BO89" s="151">
        <v>87</v>
      </c>
      <c r="BP89" s="3" t="s">
        <v>191</v>
      </c>
      <c r="BQ89" s="38">
        <v>9</v>
      </c>
      <c r="BR89" s="38">
        <v>2</v>
      </c>
      <c r="BS89" s="38">
        <v>4</v>
      </c>
      <c r="BT89" s="38">
        <v>7</v>
      </c>
      <c r="BU89" s="20" t="s">
        <v>74</v>
      </c>
      <c r="BV89" s="67">
        <v>80000</v>
      </c>
      <c r="BW89" s="67" t="s">
        <v>69</v>
      </c>
      <c r="BX89" s="67" t="s">
        <v>196</v>
      </c>
      <c r="BY89" s="67">
        <v>4</v>
      </c>
      <c r="BZ89" s="291"/>
      <c r="CA89" s="22"/>
      <c r="CC89" s="18"/>
      <c r="CD89" s="18"/>
      <c r="CE89" s="18"/>
      <c r="CF89" s="18"/>
      <c r="CG89" s="22"/>
      <c r="CH89" s="18"/>
      <c r="CI89" s="36"/>
      <c r="CJ89" s="18"/>
      <c r="CK89" s="22"/>
      <c r="DL89" s="151">
        <v>87</v>
      </c>
      <c r="DM89" s="3" t="s">
        <v>679</v>
      </c>
      <c r="DN89" s="38">
        <v>7</v>
      </c>
      <c r="DO89" s="38">
        <v>2</v>
      </c>
      <c r="DP89" s="38">
        <v>4</v>
      </c>
      <c r="DQ89" s="38">
        <v>7</v>
      </c>
      <c r="DR89" s="20" t="s">
        <v>734</v>
      </c>
      <c r="DS89" s="67">
        <v>110000</v>
      </c>
      <c r="DT89" s="274"/>
    </row>
    <row r="90" spans="33:124" ht="15" customHeight="1" hidden="1">
      <c r="AG90" s="201">
        <v>48</v>
      </c>
      <c r="AH90" s="42" t="s">
        <v>801</v>
      </c>
      <c r="AI90" s="203" t="s">
        <v>800</v>
      </c>
      <c r="BM90" s="149"/>
      <c r="BO90" s="151">
        <v>88</v>
      </c>
      <c r="BP90" s="3" t="s">
        <v>40</v>
      </c>
      <c r="BQ90" s="38">
        <v>7</v>
      </c>
      <c r="BR90" s="38">
        <v>3</v>
      </c>
      <c r="BS90" s="38">
        <v>3</v>
      </c>
      <c r="BT90" s="38">
        <v>8</v>
      </c>
      <c r="BU90" s="20" t="s">
        <v>94</v>
      </c>
      <c r="BV90" s="67">
        <v>90000</v>
      </c>
      <c r="BW90" s="67" t="s">
        <v>73</v>
      </c>
      <c r="BX90" s="67" t="s">
        <v>44</v>
      </c>
      <c r="BY90" s="67">
        <v>2</v>
      </c>
      <c r="BZ90" s="291"/>
      <c r="CA90" s="22"/>
      <c r="CC90" s="18"/>
      <c r="CD90" s="18"/>
      <c r="CE90" s="18"/>
      <c r="CF90" s="18"/>
      <c r="CG90" s="22"/>
      <c r="CH90" s="18"/>
      <c r="CI90" s="36"/>
      <c r="CJ90" s="18"/>
      <c r="CK90" s="22"/>
      <c r="DL90" s="151">
        <v>88</v>
      </c>
      <c r="DM90" s="3" t="s">
        <v>680</v>
      </c>
      <c r="DN90" s="38">
        <v>7</v>
      </c>
      <c r="DO90" s="38">
        <v>3</v>
      </c>
      <c r="DP90" s="38">
        <v>3</v>
      </c>
      <c r="DQ90" s="38">
        <v>8</v>
      </c>
      <c r="DR90" s="20" t="s">
        <v>735</v>
      </c>
      <c r="DS90" s="67">
        <v>140000</v>
      </c>
      <c r="DT90" s="274"/>
    </row>
    <row r="91" spans="33:124" ht="15" customHeight="1" hidden="1">
      <c r="AG91" s="201">
        <v>49</v>
      </c>
      <c r="AH91" s="42" t="s">
        <v>802</v>
      </c>
      <c r="AI91" s="203" t="s">
        <v>800</v>
      </c>
      <c r="BM91" s="149"/>
      <c r="BN91" s="149"/>
      <c r="BO91" s="151">
        <v>89</v>
      </c>
      <c r="BP91" s="59" t="s">
        <v>192</v>
      </c>
      <c r="BQ91" s="69">
        <v>6</v>
      </c>
      <c r="BR91" s="69">
        <v>5</v>
      </c>
      <c r="BS91" s="69">
        <v>2</v>
      </c>
      <c r="BT91" s="69">
        <v>8</v>
      </c>
      <c r="BU91" s="61" t="s">
        <v>193</v>
      </c>
      <c r="BV91" s="70">
        <v>150000</v>
      </c>
      <c r="BW91" s="70" t="s">
        <v>92</v>
      </c>
      <c r="BX91" s="70" t="s">
        <v>7</v>
      </c>
      <c r="BY91" s="70">
        <v>1</v>
      </c>
      <c r="BZ91" s="292"/>
      <c r="CA91" s="22"/>
      <c r="CC91" s="18"/>
      <c r="CD91" s="18"/>
      <c r="CE91" s="18"/>
      <c r="CF91" s="18"/>
      <c r="CG91" s="22"/>
      <c r="CH91" s="18"/>
      <c r="CI91" s="36"/>
      <c r="CJ91" s="18"/>
      <c r="CK91" s="22"/>
      <c r="DL91" s="151">
        <v>89</v>
      </c>
      <c r="DM91" s="59" t="s">
        <v>681</v>
      </c>
      <c r="DN91" s="69">
        <v>6</v>
      </c>
      <c r="DO91" s="69">
        <v>5</v>
      </c>
      <c r="DP91" s="69">
        <v>1</v>
      </c>
      <c r="DQ91" s="69">
        <v>9</v>
      </c>
      <c r="DR91" s="61" t="s">
        <v>156</v>
      </c>
      <c r="DS91" s="70">
        <v>170000</v>
      </c>
      <c r="DT91" s="275"/>
    </row>
    <row r="92" spans="33:124" ht="15" customHeight="1" hidden="1">
      <c r="AG92" s="201">
        <v>50</v>
      </c>
      <c r="AH92" s="42" t="s">
        <v>803</v>
      </c>
      <c r="AI92" s="203" t="s">
        <v>800</v>
      </c>
      <c r="BM92" s="149"/>
      <c r="BN92" s="149"/>
      <c r="BO92" s="151">
        <v>90</v>
      </c>
      <c r="BP92" s="3" t="s">
        <v>375</v>
      </c>
      <c r="BQ92" s="38">
        <v>6</v>
      </c>
      <c r="BR92" s="38">
        <v>3</v>
      </c>
      <c r="BS92" s="38">
        <v>3</v>
      </c>
      <c r="BT92" s="38">
        <v>8</v>
      </c>
      <c r="BU92" s="20" t="s">
        <v>378</v>
      </c>
      <c r="BV92" s="67">
        <v>60000</v>
      </c>
      <c r="BW92" s="67" t="s">
        <v>18</v>
      </c>
      <c r="BX92" s="67" t="s">
        <v>70</v>
      </c>
      <c r="BY92" s="67">
        <v>16</v>
      </c>
      <c r="BZ92" s="273" t="s">
        <v>374</v>
      </c>
      <c r="CA92" s="22"/>
      <c r="CC92" s="18"/>
      <c r="CD92" s="18"/>
      <c r="CE92" s="18"/>
      <c r="CF92" s="18"/>
      <c r="CG92" s="22"/>
      <c r="CH92" s="18"/>
      <c r="CI92" s="36"/>
      <c r="CJ92" s="18"/>
      <c r="CK92" s="22"/>
      <c r="DL92" s="151">
        <v>90</v>
      </c>
      <c r="DM92" s="55" t="s">
        <v>682</v>
      </c>
      <c r="DN92" s="56">
        <v>5</v>
      </c>
      <c r="DO92" s="56">
        <v>3</v>
      </c>
      <c r="DP92" s="56">
        <v>2</v>
      </c>
      <c r="DQ92" s="56">
        <v>7</v>
      </c>
      <c r="DR92" s="57" t="s">
        <v>502</v>
      </c>
      <c r="DS92" s="58">
        <v>70000</v>
      </c>
      <c r="DT92" s="270" t="s">
        <v>197</v>
      </c>
    </row>
    <row r="93" spans="33:124" ht="15" customHeight="1" hidden="1">
      <c r="AG93" s="201">
        <v>51</v>
      </c>
      <c r="AH93" s="42" t="s">
        <v>804</v>
      </c>
      <c r="AI93" s="203" t="s">
        <v>800</v>
      </c>
      <c r="BM93" s="149"/>
      <c r="BN93" s="149"/>
      <c r="BO93" s="151">
        <v>91</v>
      </c>
      <c r="BP93" s="3" t="s">
        <v>376</v>
      </c>
      <c r="BQ93" s="38">
        <v>7</v>
      </c>
      <c r="BR93" s="38">
        <v>2</v>
      </c>
      <c r="BS93" s="38">
        <v>4</v>
      </c>
      <c r="BT93" s="38">
        <v>7</v>
      </c>
      <c r="BU93" s="20" t="s">
        <v>379</v>
      </c>
      <c r="BV93" s="67">
        <v>80000</v>
      </c>
      <c r="BW93" s="67" t="s">
        <v>69</v>
      </c>
      <c r="BX93" s="67" t="s">
        <v>72</v>
      </c>
      <c r="BY93" s="67">
        <v>4</v>
      </c>
      <c r="BZ93" s="274"/>
      <c r="CA93" s="22"/>
      <c r="CC93" s="18"/>
      <c r="CD93" s="18"/>
      <c r="CE93" s="18"/>
      <c r="CF93" s="18"/>
      <c r="CG93" s="22"/>
      <c r="CH93" s="18"/>
      <c r="CI93" s="36"/>
      <c r="CJ93" s="18"/>
      <c r="CK93" s="22"/>
      <c r="DL93" s="151">
        <v>91</v>
      </c>
      <c r="DM93" s="152" t="s">
        <v>683</v>
      </c>
      <c r="DN93" s="4">
        <v>4</v>
      </c>
      <c r="DO93" s="4">
        <v>3</v>
      </c>
      <c r="DP93" s="4">
        <v>2</v>
      </c>
      <c r="DQ93" s="4">
        <v>8</v>
      </c>
      <c r="DR93" s="20" t="s">
        <v>506</v>
      </c>
      <c r="DS93" s="5">
        <v>70000</v>
      </c>
      <c r="DT93" s="271"/>
    </row>
    <row r="94" spans="33:124" ht="15" customHeight="1" hidden="1">
      <c r="AG94" s="201">
        <v>52</v>
      </c>
      <c r="AH94" s="42" t="s">
        <v>805</v>
      </c>
      <c r="AI94" s="203" t="s">
        <v>800</v>
      </c>
      <c r="BM94" s="149"/>
      <c r="BN94" s="149"/>
      <c r="BO94" s="151">
        <v>92</v>
      </c>
      <c r="BP94" s="3" t="s">
        <v>377</v>
      </c>
      <c r="BQ94" s="38">
        <v>7</v>
      </c>
      <c r="BR94" s="38">
        <v>3</v>
      </c>
      <c r="BS94" s="38">
        <v>3</v>
      </c>
      <c r="BT94" s="38">
        <v>8</v>
      </c>
      <c r="BU94" s="20" t="s">
        <v>380</v>
      </c>
      <c r="BV94" s="67">
        <v>110000</v>
      </c>
      <c r="BW94" s="67" t="s">
        <v>199</v>
      </c>
      <c r="BX94" s="67" t="s">
        <v>15</v>
      </c>
      <c r="BY94" s="67">
        <v>4</v>
      </c>
      <c r="BZ94" s="274"/>
      <c r="CA94" s="22"/>
      <c r="CC94" s="18"/>
      <c r="CD94" s="18"/>
      <c r="CE94" s="18"/>
      <c r="CF94" s="18"/>
      <c r="CG94" s="22"/>
      <c r="CH94" s="18"/>
      <c r="CI94" s="36"/>
      <c r="CJ94" s="18"/>
      <c r="CK94" s="22"/>
      <c r="DL94" s="151">
        <v>92</v>
      </c>
      <c r="DM94" s="152" t="s">
        <v>684</v>
      </c>
      <c r="DN94" s="4">
        <v>7</v>
      </c>
      <c r="DO94" s="4">
        <v>3</v>
      </c>
      <c r="DP94" s="4">
        <v>3</v>
      </c>
      <c r="DQ94" s="4">
        <v>7</v>
      </c>
      <c r="DR94" s="20" t="s">
        <v>487</v>
      </c>
      <c r="DS94" s="5">
        <v>100000</v>
      </c>
      <c r="DT94" s="271"/>
    </row>
    <row r="95" spans="33:124" ht="15" customHeight="1" hidden="1">
      <c r="AG95" s="201">
        <v>53</v>
      </c>
      <c r="AH95" s="42" t="s">
        <v>82</v>
      </c>
      <c r="AI95" s="203" t="s">
        <v>800</v>
      </c>
      <c r="BM95" s="149"/>
      <c r="BN95" s="149"/>
      <c r="BO95" s="151">
        <v>93</v>
      </c>
      <c r="BP95" s="59" t="s">
        <v>474</v>
      </c>
      <c r="BQ95" s="69">
        <v>6</v>
      </c>
      <c r="BR95" s="69">
        <v>5</v>
      </c>
      <c r="BS95" s="69">
        <v>1</v>
      </c>
      <c r="BT95" s="69">
        <v>9</v>
      </c>
      <c r="BU95" s="61" t="s">
        <v>156</v>
      </c>
      <c r="BV95" s="70">
        <v>140000</v>
      </c>
      <c r="BW95" s="70" t="s">
        <v>92</v>
      </c>
      <c r="BX95" s="70" t="s">
        <v>29</v>
      </c>
      <c r="BY95" s="70">
        <v>1</v>
      </c>
      <c r="BZ95" s="275"/>
      <c r="CA95" s="22"/>
      <c r="CC95" s="18"/>
      <c r="CD95" s="18"/>
      <c r="CE95" s="18"/>
      <c r="CF95" s="18"/>
      <c r="CG95" s="22"/>
      <c r="CH95" s="18"/>
      <c r="CI95" s="36"/>
      <c r="CJ95" s="18"/>
      <c r="CK95" s="22"/>
      <c r="DL95" s="151">
        <v>93</v>
      </c>
      <c r="DM95" s="152" t="s">
        <v>685</v>
      </c>
      <c r="DN95" s="4">
        <v>6</v>
      </c>
      <c r="DO95" s="4">
        <v>3</v>
      </c>
      <c r="DP95" s="4">
        <v>3</v>
      </c>
      <c r="DQ95" s="4">
        <v>8</v>
      </c>
      <c r="DR95" s="20" t="s">
        <v>723</v>
      </c>
      <c r="DS95" s="5">
        <v>120000</v>
      </c>
      <c r="DT95" s="271"/>
    </row>
    <row r="96" spans="33:124" ht="15" customHeight="1" hidden="1">
      <c r="AG96" s="201">
        <v>54</v>
      </c>
      <c r="AH96" s="42" t="s">
        <v>806</v>
      </c>
      <c r="AI96" s="203" t="s">
        <v>800</v>
      </c>
      <c r="BN96" s="149"/>
      <c r="BO96" s="151">
        <v>94</v>
      </c>
      <c r="BP96" s="55" t="s">
        <v>147</v>
      </c>
      <c r="BQ96" s="56">
        <v>5</v>
      </c>
      <c r="BR96" s="56">
        <v>3</v>
      </c>
      <c r="BS96" s="56">
        <v>2</v>
      </c>
      <c r="BT96" s="56">
        <v>7</v>
      </c>
      <c r="BU96" s="57" t="s">
        <v>397</v>
      </c>
      <c r="BV96" s="58">
        <v>40000</v>
      </c>
      <c r="BW96" s="58" t="s">
        <v>18</v>
      </c>
      <c r="BX96" s="58" t="s">
        <v>70</v>
      </c>
      <c r="BY96" s="58">
        <v>16</v>
      </c>
      <c r="BZ96" s="270" t="s">
        <v>197</v>
      </c>
      <c r="CA96" s="22"/>
      <c r="CC96" s="18"/>
      <c r="CD96" s="18"/>
      <c r="CE96" s="18"/>
      <c r="CF96" s="18"/>
      <c r="CG96" s="22"/>
      <c r="CH96" s="18"/>
      <c r="CI96" s="36"/>
      <c r="CJ96" s="18"/>
      <c r="CK96" s="22"/>
      <c r="DL96" s="151">
        <v>94</v>
      </c>
      <c r="DM96" s="3" t="s">
        <v>686</v>
      </c>
      <c r="DN96" s="4">
        <v>3</v>
      </c>
      <c r="DO96" s="4">
        <v>5</v>
      </c>
      <c r="DP96" s="4">
        <v>1</v>
      </c>
      <c r="DQ96" s="4">
        <v>9</v>
      </c>
      <c r="DR96" s="20" t="s">
        <v>736</v>
      </c>
      <c r="DS96" s="5">
        <v>150000</v>
      </c>
      <c r="DT96" s="272"/>
    </row>
    <row r="97" spans="33:124" ht="15" customHeight="1" hidden="1">
      <c r="AG97" s="201">
        <v>55</v>
      </c>
      <c r="AH97" s="42" t="s">
        <v>807</v>
      </c>
      <c r="AI97" s="203" t="s">
        <v>800</v>
      </c>
      <c r="BN97" s="149"/>
      <c r="BO97" s="151">
        <v>95</v>
      </c>
      <c r="BP97" s="152" t="s">
        <v>159</v>
      </c>
      <c r="BQ97" s="4">
        <v>4</v>
      </c>
      <c r="BR97" s="4">
        <v>3</v>
      </c>
      <c r="BS97" s="4">
        <v>2</v>
      </c>
      <c r="BT97" s="4">
        <v>8</v>
      </c>
      <c r="BU97" s="20" t="s">
        <v>149</v>
      </c>
      <c r="BV97" s="5">
        <v>40000</v>
      </c>
      <c r="BW97" s="5" t="s">
        <v>18</v>
      </c>
      <c r="BX97" s="5" t="s">
        <v>70</v>
      </c>
      <c r="BY97" s="5">
        <v>16</v>
      </c>
      <c r="BZ97" s="271"/>
      <c r="CA97" s="22"/>
      <c r="CC97" s="18"/>
      <c r="CD97" s="18"/>
      <c r="CE97" s="18"/>
      <c r="CF97" s="18"/>
      <c r="CG97" s="22"/>
      <c r="CH97" s="18"/>
      <c r="CI97" s="36"/>
      <c r="CJ97" s="18"/>
      <c r="CK97" s="22"/>
      <c r="DL97" s="151">
        <v>95</v>
      </c>
      <c r="DM97" s="55" t="s">
        <v>694</v>
      </c>
      <c r="DN97" s="65">
        <v>6</v>
      </c>
      <c r="DO97" s="65">
        <v>2</v>
      </c>
      <c r="DP97" s="65">
        <v>3</v>
      </c>
      <c r="DQ97" s="65">
        <v>7</v>
      </c>
      <c r="DR97" s="57" t="s">
        <v>520</v>
      </c>
      <c r="DS97" s="66">
        <v>70000</v>
      </c>
      <c r="DT97" s="273" t="s">
        <v>390</v>
      </c>
    </row>
    <row r="98" spans="33:124" ht="15" customHeight="1" hidden="1">
      <c r="AG98" s="201">
        <v>56</v>
      </c>
      <c r="AH98" s="42" t="s">
        <v>808</v>
      </c>
      <c r="AI98" s="203" t="s">
        <v>800</v>
      </c>
      <c r="BN98" s="149"/>
      <c r="BO98" s="151">
        <v>96</v>
      </c>
      <c r="BP98" s="152" t="s">
        <v>47</v>
      </c>
      <c r="BQ98" s="4">
        <v>7</v>
      </c>
      <c r="BR98" s="4">
        <v>3</v>
      </c>
      <c r="BS98" s="4">
        <v>3</v>
      </c>
      <c r="BT98" s="4">
        <v>7</v>
      </c>
      <c r="BU98" s="20" t="s">
        <v>74</v>
      </c>
      <c r="BV98" s="5">
        <v>70000</v>
      </c>
      <c r="BW98" s="5" t="s">
        <v>69</v>
      </c>
      <c r="BX98" s="5" t="s">
        <v>72</v>
      </c>
      <c r="BY98" s="5">
        <v>4</v>
      </c>
      <c r="BZ98" s="271"/>
      <c r="CA98" s="22"/>
      <c r="CC98" s="18"/>
      <c r="CD98" s="18"/>
      <c r="CE98" s="18"/>
      <c r="CF98" s="18"/>
      <c r="CG98" s="22"/>
      <c r="CH98" s="18"/>
      <c r="CI98" s="36"/>
      <c r="CJ98" s="18"/>
      <c r="CK98" s="22"/>
      <c r="DL98" s="151">
        <v>96</v>
      </c>
      <c r="DM98" s="3" t="s">
        <v>695</v>
      </c>
      <c r="DN98" s="38">
        <v>7</v>
      </c>
      <c r="DO98" s="38">
        <v>3</v>
      </c>
      <c r="DP98" s="38">
        <v>3</v>
      </c>
      <c r="DQ98" s="38">
        <v>7</v>
      </c>
      <c r="DR98" s="20" t="s">
        <v>704</v>
      </c>
      <c r="DS98" s="67">
        <v>80000</v>
      </c>
      <c r="DT98" s="274"/>
    </row>
    <row r="99" spans="33:124" ht="15" customHeight="1" hidden="1">
      <c r="AG99" s="201">
        <v>57</v>
      </c>
      <c r="AH99" s="42" t="s">
        <v>809</v>
      </c>
      <c r="AI99" s="203" t="s">
        <v>800</v>
      </c>
      <c r="BN99" s="149"/>
      <c r="BO99" s="151">
        <v>97</v>
      </c>
      <c r="BP99" s="152" t="s">
        <v>160</v>
      </c>
      <c r="BQ99" s="4">
        <v>6</v>
      </c>
      <c r="BR99" s="4">
        <v>3</v>
      </c>
      <c r="BS99" s="4">
        <v>3</v>
      </c>
      <c r="BT99" s="4">
        <v>8</v>
      </c>
      <c r="BU99" s="20" t="s">
        <v>151</v>
      </c>
      <c r="BV99" s="5">
        <v>90000</v>
      </c>
      <c r="BW99" s="5" t="s">
        <v>73</v>
      </c>
      <c r="BX99" s="5" t="s">
        <v>68</v>
      </c>
      <c r="BY99" s="5">
        <v>2</v>
      </c>
      <c r="BZ99" s="271"/>
      <c r="CA99" s="22"/>
      <c r="CC99" s="18"/>
      <c r="CD99" s="18"/>
      <c r="CE99" s="18"/>
      <c r="CF99" s="18"/>
      <c r="CG99" s="22"/>
      <c r="CH99" s="18"/>
      <c r="CI99" s="36"/>
      <c r="CJ99" s="18"/>
      <c r="CK99" s="22"/>
      <c r="DL99" s="151">
        <v>97</v>
      </c>
      <c r="DM99" s="3" t="s">
        <v>696</v>
      </c>
      <c r="DN99" s="38">
        <v>7</v>
      </c>
      <c r="DO99" s="38">
        <v>3</v>
      </c>
      <c r="DP99" s="38">
        <v>3</v>
      </c>
      <c r="DQ99" s="38">
        <v>7</v>
      </c>
      <c r="DR99" s="20" t="s">
        <v>737</v>
      </c>
      <c r="DS99" s="67">
        <v>100000</v>
      </c>
      <c r="DT99" s="274"/>
    </row>
    <row r="100" spans="33:124" ht="15" customHeight="1" hidden="1">
      <c r="AG100" s="201">
        <v>58</v>
      </c>
      <c r="AH100" s="203" t="s">
        <v>815</v>
      </c>
      <c r="BO100" s="151">
        <v>98</v>
      </c>
      <c r="BP100" s="3" t="s">
        <v>148</v>
      </c>
      <c r="BQ100" s="4">
        <v>3</v>
      </c>
      <c r="BR100" s="4">
        <v>5</v>
      </c>
      <c r="BS100" s="4">
        <v>1</v>
      </c>
      <c r="BT100" s="4">
        <v>9</v>
      </c>
      <c r="BU100" s="20" t="s">
        <v>152</v>
      </c>
      <c r="BV100" s="5">
        <v>120000</v>
      </c>
      <c r="BW100" s="5" t="s">
        <v>92</v>
      </c>
      <c r="BX100" s="5" t="s">
        <v>29</v>
      </c>
      <c r="BY100" s="5">
        <v>2</v>
      </c>
      <c r="BZ100" s="272"/>
      <c r="CA100" s="22"/>
      <c r="CC100" s="18"/>
      <c r="CD100" s="18"/>
      <c r="CE100" s="18"/>
      <c r="CF100" s="18"/>
      <c r="CG100" s="22"/>
      <c r="CH100" s="18"/>
      <c r="CI100" s="36"/>
      <c r="CJ100" s="18"/>
      <c r="CK100" s="22"/>
      <c r="DL100" s="151">
        <v>98</v>
      </c>
      <c r="DM100" s="3" t="s">
        <v>697</v>
      </c>
      <c r="DN100" s="38">
        <v>7</v>
      </c>
      <c r="DO100" s="38">
        <v>3</v>
      </c>
      <c r="DP100" s="38">
        <v>3</v>
      </c>
      <c r="DQ100" s="38">
        <v>8</v>
      </c>
      <c r="DR100" s="20" t="s">
        <v>738</v>
      </c>
      <c r="DS100" s="67">
        <v>120000</v>
      </c>
      <c r="DT100" s="274"/>
    </row>
    <row r="101" spans="33:124" ht="15" customHeight="1" hidden="1">
      <c r="AG101" s="201">
        <v>59</v>
      </c>
      <c r="AH101" s="248" t="s">
        <v>816</v>
      </c>
      <c r="AI101" s="203" t="s">
        <v>820</v>
      </c>
      <c r="BO101" s="151">
        <v>99</v>
      </c>
      <c r="BP101" s="55" t="s">
        <v>381</v>
      </c>
      <c r="BQ101" s="65">
        <v>6</v>
      </c>
      <c r="BR101" s="65">
        <v>2</v>
      </c>
      <c r="BS101" s="65">
        <v>3</v>
      </c>
      <c r="BT101" s="65">
        <v>7</v>
      </c>
      <c r="BU101" s="57" t="s">
        <v>475</v>
      </c>
      <c r="BV101" s="66">
        <v>40000</v>
      </c>
      <c r="BW101" s="66" t="s">
        <v>372</v>
      </c>
      <c r="BX101" s="66" t="s">
        <v>129</v>
      </c>
      <c r="BY101" s="66">
        <v>12</v>
      </c>
      <c r="BZ101" s="273" t="s">
        <v>390</v>
      </c>
      <c r="CA101" s="22"/>
      <c r="CC101" s="18"/>
      <c r="CD101" s="18"/>
      <c r="CE101" s="18"/>
      <c r="CF101" s="18"/>
      <c r="CG101" s="22"/>
      <c r="CH101" s="18"/>
      <c r="CI101" s="36"/>
      <c r="CJ101" s="18"/>
      <c r="CK101" s="22"/>
      <c r="DL101" s="151">
        <v>99</v>
      </c>
      <c r="DM101" s="3" t="s">
        <v>698</v>
      </c>
      <c r="DN101" s="38">
        <v>4</v>
      </c>
      <c r="DO101" s="38">
        <v>5</v>
      </c>
      <c r="DP101" s="38">
        <v>1</v>
      </c>
      <c r="DQ101" s="38">
        <v>9</v>
      </c>
      <c r="DR101" s="20" t="s">
        <v>128</v>
      </c>
      <c r="DS101" s="67">
        <v>140000</v>
      </c>
      <c r="DT101" s="275"/>
    </row>
    <row r="102" spans="33:124" ht="15" customHeight="1" hidden="1">
      <c r="AG102" s="201">
        <v>60</v>
      </c>
      <c r="AH102" s="248" t="s">
        <v>817</v>
      </c>
      <c r="AI102" s="203" t="s">
        <v>820</v>
      </c>
      <c r="BO102" s="151">
        <v>100</v>
      </c>
      <c r="BP102" s="3" t="s">
        <v>382</v>
      </c>
      <c r="BQ102" s="38">
        <v>7</v>
      </c>
      <c r="BR102" s="38">
        <v>3</v>
      </c>
      <c r="BS102" s="38">
        <v>3</v>
      </c>
      <c r="BT102" s="38">
        <v>7</v>
      </c>
      <c r="BU102" s="20" t="s">
        <v>370</v>
      </c>
      <c r="BV102" s="67">
        <v>50000</v>
      </c>
      <c r="BW102" s="67" t="s">
        <v>45</v>
      </c>
      <c r="BX102" s="67" t="s">
        <v>70</v>
      </c>
      <c r="BY102" s="67">
        <v>2</v>
      </c>
      <c r="BZ102" s="274"/>
      <c r="CA102" s="22"/>
      <c r="CC102" s="18"/>
      <c r="CD102" s="18"/>
      <c r="CE102" s="18"/>
      <c r="CF102" s="18"/>
      <c r="CG102" s="22"/>
      <c r="CH102" s="18"/>
      <c r="CI102" s="36"/>
      <c r="CJ102" s="18"/>
      <c r="CK102" s="22"/>
      <c r="DL102" s="151">
        <v>100</v>
      </c>
      <c r="DM102" s="55" t="s">
        <v>692</v>
      </c>
      <c r="DN102" s="65">
        <v>6</v>
      </c>
      <c r="DO102" s="65">
        <v>3</v>
      </c>
      <c r="DP102" s="65">
        <v>3</v>
      </c>
      <c r="DQ102" s="65">
        <v>7</v>
      </c>
      <c r="DR102" s="57" t="s">
        <v>491</v>
      </c>
      <c r="DS102" s="66">
        <v>70000</v>
      </c>
      <c r="DT102" s="290" t="s">
        <v>30</v>
      </c>
    </row>
    <row r="103" spans="33:124" ht="15" customHeight="1" hidden="1">
      <c r="AG103" s="201">
        <v>61</v>
      </c>
      <c r="AH103" s="248" t="s">
        <v>818</v>
      </c>
      <c r="AI103" s="203" t="s">
        <v>821</v>
      </c>
      <c r="BO103" s="151">
        <v>101</v>
      </c>
      <c r="BP103" s="3" t="s">
        <v>383</v>
      </c>
      <c r="BQ103" s="38">
        <v>7</v>
      </c>
      <c r="BR103" s="38">
        <v>3</v>
      </c>
      <c r="BS103" s="38">
        <v>3</v>
      </c>
      <c r="BT103" s="38">
        <v>7</v>
      </c>
      <c r="BU103" s="20" t="s">
        <v>386</v>
      </c>
      <c r="BV103" s="67">
        <v>70000</v>
      </c>
      <c r="BW103" s="67" t="s">
        <v>389</v>
      </c>
      <c r="BX103" s="67" t="s">
        <v>71</v>
      </c>
      <c r="BY103" s="67">
        <v>2</v>
      </c>
      <c r="BZ103" s="274"/>
      <c r="CA103" s="22"/>
      <c r="CC103" s="18"/>
      <c r="CD103" s="18"/>
      <c r="CE103" s="18"/>
      <c r="CF103" s="18"/>
      <c r="CG103" s="22"/>
      <c r="CH103" s="18"/>
      <c r="CI103" s="36"/>
      <c r="CJ103" s="18"/>
      <c r="CK103" s="22"/>
      <c r="DL103" s="151">
        <v>101</v>
      </c>
      <c r="DM103" s="59" t="s">
        <v>693</v>
      </c>
      <c r="DN103" s="69">
        <v>6</v>
      </c>
      <c r="DO103" s="69">
        <v>4</v>
      </c>
      <c r="DP103" s="69">
        <v>4</v>
      </c>
      <c r="DQ103" s="69">
        <v>8</v>
      </c>
      <c r="DR103" s="61" t="s">
        <v>739</v>
      </c>
      <c r="DS103" s="70">
        <v>140000</v>
      </c>
      <c r="DT103" s="291"/>
    </row>
    <row r="104" spans="33:124" ht="15" customHeight="1" hidden="1">
      <c r="AG104" s="201">
        <v>62</v>
      </c>
      <c r="AH104" s="248" t="s">
        <v>819</v>
      </c>
      <c r="AI104" s="203" t="s">
        <v>822</v>
      </c>
      <c r="BO104" s="151">
        <v>102</v>
      </c>
      <c r="BP104" s="3" t="s">
        <v>384</v>
      </c>
      <c r="BQ104" s="38">
        <v>7</v>
      </c>
      <c r="BR104" s="38">
        <v>3</v>
      </c>
      <c r="BS104" s="38">
        <v>3</v>
      </c>
      <c r="BT104" s="38">
        <v>8</v>
      </c>
      <c r="BU104" s="20" t="s">
        <v>387</v>
      </c>
      <c r="BV104" s="67">
        <v>90000</v>
      </c>
      <c r="BW104" s="67" t="s">
        <v>84</v>
      </c>
      <c r="BX104" s="67" t="s">
        <v>68</v>
      </c>
      <c r="BY104" s="67">
        <v>2</v>
      </c>
      <c r="BZ104" s="274"/>
      <c r="CA104" s="22"/>
      <c r="CC104" s="18"/>
      <c r="CD104" s="18"/>
      <c r="CE104" s="18"/>
      <c r="CF104" s="18"/>
      <c r="CG104" s="22"/>
      <c r="CH104" s="18"/>
      <c r="CI104" s="36"/>
      <c r="CJ104" s="18"/>
      <c r="CK104" s="22"/>
      <c r="DL104" s="151">
        <v>102</v>
      </c>
      <c r="DM104" s="55" t="s">
        <v>687</v>
      </c>
      <c r="DN104" s="56">
        <v>7</v>
      </c>
      <c r="DO104" s="56">
        <v>3</v>
      </c>
      <c r="DP104" s="56">
        <v>4</v>
      </c>
      <c r="DQ104" s="56">
        <v>7</v>
      </c>
      <c r="DR104" s="57" t="s">
        <v>491</v>
      </c>
      <c r="DS104" s="58">
        <v>100000</v>
      </c>
      <c r="DT104" s="270" t="s">
        <v>200</v>
      </c>
    </row>
    <row r="105" spans="67:124" ht="15" customHeight="1" hidden="1">
      <c r="BO105" s="151">
        <v>103</v>
      </c>
      <c r="BP105" s="3" t="s">
        <v>385</v>
      </c>
      <c r="BQ105" s="38">
        <v>4</v>
      </c>
      <c r="BR105" s="38">
        <v>5</v>
      </c>
      <c r="BS105" s="38">
        <v>1</v>
      </c>
      <c r="BT105" s="38">
        <v>9</v>
      </c>
      <c r="BU105" s="20" t="s">
        <v>128</v>
      </c>
      <c r="BV105" s="67">
        <v>110000</v>
      </c>
      <c r="BW105" s="67" t="s">
        <v>85</v>
      </c>
      <c r="BX105" s="67" t="s">
        <v>29</v>
      </c>
      <c r="BY105" s="67">
        <v>1</v>
      </c>
      <c r="BZ105" s="275"/>
      <c r="CA105" s="22"/>
      <c r="CC105" s="18"/>
      <c r="CD105" s="18"/>
      <c r="CE105" s="18"/>
      <c r="CF105" s="18"/>
      <c r="CG105" s="22"/>
      <c r="CH105" s="18"/>
      <c r="CI105" s="36"/>
      <c r="CJ105" s="18"/>
      <c r="CK105" s="22"/>
      <c r="DL105" s="151">
        <v>103</v>
      </c>
      <c r="DM105" s="3" t="s">
        <v>688</v>
      </c>
      <c r="DN105" s="4">
        <v>8</v>
      </c>
      <c r="DO105" s="4">
        <v>2</v>
      </c>
      <c r="DP105" s="4">
        <v>4</v>
      </c>
      <c r="DQ105" s="4">
        <v>7</v>
      </c>
      <c r="DR105" s="20" t="s">
        <v>740</v>
      </c>
      <c r="DS105" s="5">
        <v>120000</v>
      </c>
      <c r="DT105" s="271"/>
    </row>
    <row r="106" spans="33:124" ht="15" customHeight="1" hidden="1">
      <c r="AG106" s="10">
        <v>3</v>
      </c>
      <c r="BO106" s="151">
        <v>104</v>
      </c>
      <c r="BP106" s="55" t="s">
        <v>31</v>
      </c>
      <c r="BQ106" s="65">
        <v>6</v>
      </c>
      <c r="BR106" s="65">
        <v>3</v>
      </c>
      <c r="BS106" s="65">
        <v>3</v>
      </c>
      <c r="BT106" s="65">
        <v>7</v>
      </c>
      <c r="BU106" s="57"/>
      <c r="BV106" s="66">
        <v>40000</v>
      </c>
      <c r="BW106" s="66" t="s">
        <v>18</v>
      </c>
      <c r="BX106" s="66" t="s">
        <v>70</v>
      </c>
      <c r="BY106" s="66">
        <v>16</v>
      </c>
      <c r="BZ106" s="290" t="s">
        <v>30</v>
      </c>
      <c r="CA106" s="22"/>
      <c r="CC106" s="18"/>
      <c r="CD106" s="18"/>
      <c r="CE106" s="18"/>
      <c r="CF106" s="18"/>
      <c r="CG106" s="22"/>
      <c r="CH106" s="18"/>
      <c r="CI106" s="36"/>
      <c r="CJ106" s="18"/>
      <c r="CK106" s="22"/>
      <c r="DL106" s="151">
        <v>104</v>
      </c>
      <c r="DM106" s="3" t="s">
        <v>689</v>
      </c>
      <c r="DN106" s="4">
        <v>7</v>
      </c>
      <c r="DO106" s="4">
        <v>3</v>
      </c>
      <c r="DP106" s="4">
        <v>4</v>
      </c>
      <c r="DQ106" s="4">
        <v>7</v>
      </c>
      <c r="DR106" s="20" t="s">
        <v>710</v>
      </c>
      <c r="DS106" s="5">
        <v>120000</v>
      </c>
      <c r="DT106" s="271"/>
    </row>
    <row r="107" spans="33:124" ht="15" customHeight="1" hidden="1">
      <c r="AG107" s="10">
        <v>4</v>
      </c>
      <c r="BO107" s="151">
        <v>105</v>
      </c>
      <c r="BP107" s="59" t="s">
        <v>30</v>
      </c>
      <c r="BQ107" s="69">
        <v>6</v>
      </c>
      <c r="BR107" s="69">
        <v>4</v>
      </c>
      <c r="BS107" s="69">
        <v>4</v>
      </c>
      <c r="BT107" s="69">
        <v>8</v>
      </c>
      <c r="BU107" s="61" t="s">
        <v>198</v>
      </c>
      <c r="BV107" s="70">
        <v>110000</v>
      </c>
      <c r="BW107" s="70" t="s">
        <v>199</v>
      </c>
      <c r="BX107" s="70" t="s">
        <v>15</v>
      </c>
      <c r="BY107" s="67">
        <v>6</v>
      </c>
      <c r="BZ107" s="291"/>
      <c r="CA107" s="22"/>
      <c r="CC107" s="18"/>
      <c r="CD107" s="18"/>
      <c r="CE107" s="18"/>
      <c r="CF107" s="18"/>
      <c r="CG107" s="22"/>
      <c r="CH107" s="18"/>
      <c r="CI107" s="36"/>
      <c r="CJ107" s="18"/>
      <c r="CK107" s="22"/>
      <c r="DL107" s="151">
        <v>105</v>
      </c>
      <c r="DM107" s="3" t="s">
        <v>690</v>
      </c>
      <c r="DN107" s="4">
        <v>8</v>
      </c>
      <c r="DO107" s="4">
        <v>3</v>
      </c>
      <c r="DP107" s="4">
        <v>4</v>
      </c>
      <c r="DQ107" s="4">
        <v>7</v>
      </c>
      <c r="DR107" s="20" t="s">
        <v>741</v>
      </c>
      <c r="DS107" s="5">
        <v>150000</v>
      </c>
      <c r="DT107" s="271"/>
    </row>
    <row r="108" spans="33:124" ht="15" customHeight="1" hidden="1">
      <c r="AG108" s="10">
        <v>5</v>
      </c>
      <c r="BO108" s="151">
        <v>106</v>
      </c>
      <c r="BP108" s="55" t="s">
        <v>201</v>
      </c>
      <c r="BQ108" s="56">
        <v>7</v>
      </c>
      <c r="BR108" s="56">
        <v>3</v>
      </c>
      <c r="BS108" s="56">
        <v>4</v>
      </c>
      <c r="BT108" s="56">
        <v>7</v>
      </c>
      <c r="BU108" s="57"/>
      <c r="BV108" s="58">
        <v>70000</v>
      </c>
      <c r="BW108" s="58" t="s">
        <v>69</v>
      </c>
      <c r="BX108" s="58" t="s">
        <v>72</v>
      </c>
      <c r="BY108" s="58">
        <v>16</v>
      </c>
      <c r="BZ108" s="270" t="s">
        <v>200</v>
      </c>
      <c r="CA108" s="22"/>
      <c r="CC108" s="18"/>
      <c r="CD108" s="18"/>
      <c r="CE108" s="18"/>
      <c r="CF108" s="18"/>
      <c r="CG108" s="22"/>
      <c r="CH108" s="18"/>
      <c r="CI108" s="36"/>
      <c r="CJ108" s="18"/>
      <c r="CK108" s="22"/>
      <c r="DL108" s="151">
        <v>106</v>
      </c>
      <c r="DM108" s="59" t="s">
        <v>691</v>
      </c>
      <c r="DN108" s="60">
        <v>2</v>
      </c>
      <c r="DO108" s="60">
        <v>6</v>
      </c>
      <c r="DP108" s="60">
        <v>1</v>
      </c>
      <c r="DQ108" s="60">
        <v>10</v>
      </c>
      <c r="DR108" s="61" t="s">
        <v>717</v>
      </c>
      <c r="DS108" s="62">
        <v>150000</v>
      </c>
      <c r="DT108" s="272"/>
    </row>
    <row r="109" spans="67:124" ht="15" customHeight="1" hidden="1">
      <c r="BO109" s="2">
        <v>107</v>
      </c>
      <c r="BP109" s="152" t="s">
        <v>203</v>
      </c>
      <c r="BQ109" s="4">
        <v>8</v>
      </c>
      <c r="BR109" s="4">
        <v>2</v>
      </c>
      <c r="BS109" s="4">
        <v>4</v>
      </c>
      <c r="BT109" s="4">
        <v>7</v>
      </c>
      <c r="BU109" s="20" t="s">
        <v>405</v>
      </c>
      <c r="BV109" s="5">
        <v>90000</v>
      </c>
      <c r="BW109" s="5" t="s">
        <v>69</v>
      </c>
      <c r="BX109" s="5" t="s">
        <v>72</v>
      </c>
      <c r="BY109" s="5">
        <v>4</v>
      </c>
      <c r="BZ109" s="271"/>
      <c r="CA109" s="22"/>
      <c r="CC109" s="18"/>
      <c r="CD109" s="18"/>
      <c r="CE109" s="18"/>
      <c r="CF109" s="18"/>
      <c r="CG109" s="22"/>
      <c r="CH109" s="18"/>
      <c r="CI109" s="36"/>
      <c r="CJ109" s="18"/>
      <c r="CK109" s="22"/>
      <c r="DL109" s="2"/>
      <c r="DM109" s="3"/>
      <c r="DT109" s="18"/>
    </row>
    <row r="110" spans="67:124" ht="15" customHeight="1" hidden="1">
      <c r="BO110" s="2">
        <v>108</v>
      </c>
      <c r="BP110" s="152" t="s">
        <v>202</v>
      </c>
      <c r="BQ110" s="4">
        <v>7</v>
      </c>
      <c r="BR110" s="4">
        <v>3</v>
      </c>
      <c r="BS110" s="4">
        <v>4</v>
      </c>
      <c r="BT110" s="4">
        <v>7</v>
      </c>
      <c r="BU110" s="20" t="s">
        <v>121</v>
      </c>
      <c r="BV110" s="5">
        <v>90000</v>
      </c>
      <c r="BW110" s="5" t="s">
        <v>29</v>
      </c>
      <c r="BX110" s="5" t="s">
        <v>92</v>
      </c>
      <c r="BY110" s="5">
        <v>2</v>
      </c>
      <c r="BZ110" s="271"/>
      <c r="CA110" s="22"/>
      <c r="CC110" s="18"/>
      <c r="CD110" s="18"/>
      <c r="CE110" s="18"/>
      <c r="CF110" s="18"/>
      <c r="CG110" s="22"/>
      <c r="CH110" s="18"/>
      <c r="CI110" s="36"/>
      <c r="CJ110" s="18"/>
      <c r="CK110" s="22"/>
      <c r="DL110" s="2"/>
      <c r="DM110" s="3"/>
      <c r="DT110" s="18"/>
    </row>
    <row r="111" spans="67:124" ht="15" customHeight="1" hidden="1">
      <c r="BO111" s="2">
        <v>109</v>
      </c>
      <c r="BP111" s="152" t="s">
        <v>38</v>
      </c>
      <c r="BQ111" s="4">
        <v>8</v>
      </c>
      <c r="BR111" s="4">
        <v>3</v>
      </c>
      <c r="BS111" s="4">
        <v>4</v>
      </c>
      <c r="BT111" s="4">
        <v>7</v>
      </c>
      <c r="BU111" s="20" t="s">
        <v>204</v>
      </c>
      <c r="BV111" s="5">
        <v>120000</v>
      </c>
      <c r="BW111" s="5" t="s">
        <v>69</v>
      </c>
      <c r="BX111" s="5" t="s">
        <v>72</v>
      </c>
      <c r="BY111" s="5">
        <v>2</v>
      </c>
      <c r="BZ111" s="271"/>
      <c r="CA111" s="22"/>
      <c r="CC111" s="18"/>
      <c r="CD111" s="18"/>
      <c r="CE111" s="18"/>
      <c r="CF111" s="18"/>
      <c r="CG111" s="22"/>
      <c r="CH111" s="18"/>
      <c r="CI111" s="36"/>
      <c r="CJ111" s="18"/>
      <c r="CK111" s="22"/>
      <c r="DL111" s="2"/>
      <c r="DM111" s="3"/>
      <c r="DN111" s="144"/>
      <c r="DO111" s="144"/>
      <c r="DP111" s="144"/>
      <c r="DQ111" s="144"/>
      <c r="DR111" s="145"/>
      <c r="DS111" s="146"/>
      <c r="DT111" s="18"/>
    </row>
    <row r="112" spans="67:124" ht="15" customHeight="1" hidden="1">
      <c r="BO112" s="2">
        <v>110</v>
      </c>
      <c r="BP112" s="158" t="s">
        <v>404</v>
      </c>
      <c r="BQ112" s="60">
        <v>2</v>
      </c>
      <c r="BR112" s="60">
        <v>6</v>
      </c>
      <c r="BS112" s="60">
        <v>1</v>
      </c>
      <c r="BT112" s="60">
        <v>10</v>
      </c>
      <c r="BU112" s="61" t="s">
        <v>396</v>
      </c>
      <c r="BV112" s="62">
        <v>120000</v>
      </c>
      <c r="BW112" s="62" t="s">
        <v>92</v>
      </c>
      <c r="BX112" s="62" t="s">
        <v>29</v>
      </c>
      <c r="BY112" s="62">
        <v>1</v>
      </c>
      <c r="BZ112" s="272"/>
      <c r="CA112" s="22"/>
      <c r="CC112" s="18"/>
      <c r="CD112" s="18"/>
      <c r="CE112" s="18"/>
      <c r="CF112" s="18"/>
      <c r="CG112" s="22"/>
      <c r="CH112" s="18"/>
      <c r="CI112" s="36"/>
      <c r="CJ112" s="18"/>
      <c r="CK112" s="22"/>
      <c r="DL112" s="2"/>
      <c r="DM112" s="3"/>
      <c r="DN112" s="144"/>
      <c r="DO112" s="144"/>
      <c r="DP112" s="144"/>
      <c r="DQ112" s="144"/>
      <c r="DR112" s="145"/>
      <c r="DS112" s="146"/>
      <c r="DT112" s="18"/>
    </row>
    <row r="113" spans="67:124" ht="15" customHeight="1" hidden="1">
      <c r="BO113" s="2">
        <v>111</v>
      </c>
      <c r="BP113" s="3" t="s">
        <v>282</v>
      </c>
      <c r="BQ113" s="19">
        <v>6</v>
      </c>
      <c r="BR113" s="19">
        <v>3</v>
      </c>
      <c r="BS113" s="19">
        <v>3</v>
      </c>
      <c r="BT113" s="19">
        <v>8</v>
      </c>
      <c r="BU113" s="21" t="s">
        <v>283</v>
      </c>
      <c r="BV113" s="18">
        <v>60000</v>
      </c>
      <c r="BY113" s="18">
        <v>1</v>
      </c>
      <c r="BZ113" s="18" t="s">
        <v>107</v>
      </c>
      <c r="CA113" s="22"/>
      <c r="CC113" s="18"/>
      <c r="CD113" s="18"/>
      <c r="CE113" s="18"/>
      <c r="CF113" s="18"/>
      <c r="CG113" s="22"/>
      <c r="CH113" s="18"/>
      <c r="CI113" s="36"/>
      <c r="CJ113" s="18"/>
      <c r="CK113" s="22"/>
      <c r="DL113" s="2"/>
      <c r="DM113" s="147"/>
      <c r="DN113" s="144"/>
      <c r="DO113" s="144"/>
      <c r="DP113" s="144"/>
      <c r="DQ113" s="144"/>
      <c r="DR113" s="145"/>
      <c r="DS113" s="146"/>
      <c r="DT113" s="18"/>
    </row>
    <row r="114" spans="67:124" ht="15" customHeight="1" hidden="1">
      <c r="BO114" s="2">
        <v>112</v>
      </c>
      <c r="BP114" s="3" t="s">
        <v>406</v>
      </c>
      <c r="BQ114" s="19">
        <v>6</v>
      </c>
      <c r="BR114" s="19">
        <v>5</v>
      </c>
      <c r="BS114" s="19">
        <v>2</v>
      </c>
      <c r="BT114" s="19">
        <v>9</v>
      </c>
      <c r="BU114" s="21" t="s">
        <v>408</v>
      </c>
      <c r="BV114" s="18">
        <v>290000</v>
      </c>
      <c r="BY114" s="18">
        <v>1</v>
      </c>
      <c r="BZ114" s="18" t="s">
        <v>407</v>
      </c>
      <c r="CA114" s="22"/>
      <c r="CC114" s="18"/>
      <c r="CD114" s="18"/>
      <c r="CE114" s="18"/>
      <c r="CF114" s="18"/>
      <c r="CG114" s="22"/>
      <c r="CH114" s="18"/>
      <c r="CI114" s="36"/>
      <c r="CJ114" s="18"/>
      <c r="CK114" s="22"/>
      <c r="DL114" s="2"/>
      <c r="DM114" s="3"/>
      <c r="DN114" s="144"/>
      <c r="DO114" s="144"/>
      <c r="DP114" s="144"/>
      <c r="DQ114" s="144"/>
      <c r="DR114" s="145"/>
      <c r="DS114" s="146"/>
      <c r="DT114" s="18"/>
    </row>
    <row r="115" spans="67:124" ht="15" customHeight="1" hidden="1">
      <c r="BO115" s="2">
        <v>113</v>
      </c>
      <c r="BP115" s="3" t="s">
        <v>8</v>
      </c>
      <c r="BQ115" s="144">
        <v>5</v>
      </c>
      <c r="BR115" s="144">
        <v>5</v>
      </c>
      <c r="BS115" s="144">
        <v>2</v>
      </c>
      <c r="BT115" s="144">
        <v>9</v>
      </c>
      <c r="BU115" s="145" t="s">
        <v>284</v>
      </c>
      <c r="BV115" s="146">
        <v>145000</v>
      </c>
      <c r="BY115" s="18">
        <v>1</v>
      </c>
      <c r="BZ115" s="18" t="s">
        <v>411</v>
      </c>
      <c r="CA115" s="22"/>
      <c r="CC115" s="18"/>
      <c r="CD115" s="18"/>
      <c r="CE115" s="18"/>
      <c r="CF115" s="18"/>
      <c r="CG115" s="22"/>
      <c r="CH115" s="18"/>
      <c r="CI115" s="36"/>
      <c r="CJ115" s="18"/>
      <c r="CK115" s="22"/>
      <c r="DL115" s="2"/>
      <c r="DM115" s="3"/>
      <c r="DN115" s="144"/>
      <c r="DO115" s="144"/>
      <c r="DP115" s="144"/>
      <c r="DQ115" s="144"/>
      <c r="DR115" s="145"/>
      <c r="DS115" s="146"/>
      <c r="DT115" s="18"/>
    </row>
    <row r="116" spans="67:124" ht="15" customHeight="1" hidden="1">
      <c r="BO116" s="2">
        <v>114</v>
      </c>
      <c r="BP116" s="3" t="s">
        <v>9</v>
      </c>
      <c r="BQ116" s="144">
        <v>6</v>
      </c>
      <c r="BR116" s="144">
        <v>2</v>
      </c>
      <c r="BS116" s="144">
        <v>4</v>
      </c>
      <c r="BT116" s="144">
        <v>7</v>
      </c>
      <c r="BU116" s="145" t="s">
        <v>285</v>
      </c>
      <c r="BV116" s="146">
        <v>145000</v>
      </c>
      <c r="BY116" s="18">
        <v>1</v>
      </c>
      <c r="BZ116" s="18" t="s">
        <v>411</v>
      </c>
      <c r="CA116" s="22"/>
      <c r="CC116" s="18"/>
      <c r="CD116" s="18"/>
      <c r="CE116" s="18"/>
      <c r="CF116" s="18"/>
      <c r="CG116" s="22"/>
      <c r="CH116" s="18"/>
      <c r="CI116" s="36"/>
      <c r="CJ116" s="18"/>
      <c r="CK116" s="22"/>
      <c r="DL116" s="2"/>
      <c r="DM116" s="3"/>
      <c r="DN116" s="144"/>
      <c r="DO116" s="144"/>
      <c r="DP116" s="144"/>
      <c r="DQ116" s="144"/>
      <c r="DR116" s="145"/>
      <c r="DS116" s="146"/>
      <c r="DT116" s="18"/>
    </row>
    <row r="117" spans="67:124" ht="15" customHeight="1" hidden="1">
      <c r="BO117" s="2">
        <v>115</v>
      </c>
      <c r="BP117" s="147" t="s">
        <v>65</v>
      </c>
      <c r="BQ117" s="144">
        <v>6</v>
      </c>
      <c r="BR117" s="144">
        <v>2</v>
      </c>
      <c r="BS117" s="144">
        <v>3</v>
      </c>
      <c r="BT117" s="144">
        <v>7</v>
      </c>
      <c r="BU117" s="145" t="s">
        <v>409</v>
      </c>
      <c r="BV117" s="146">
        <v>60000</v>
      </c>
      <c r="BY117" s="18">
        <v>1</v>
      </c>
      <c r="BZ117" s="18" t="s">
        <v>412</v>
      </c>
      <c r="CA117" s="22"/>
      <c r="CC117" s="18"/>
      <c r="CD117" s="18"/>
      <c r="CE117" s="18"/>
      <c r="CF117" s="18"/>
      <c r="CG117" s="22"/>
      <c r="CH117" s="18"/>
      <c r="CI117" s="36"/>
      <c r="CJ117" s="18"/>
      <c r="CK117" s="22"/>
      <c r="DL117" s="2"/>
      <c r="DM117" s="3"/>
      <c r="DN117" s="144"/>
      <c r="DO117" s="144"/>
      <c r="DP117" s="144"/>
      <c r="DQ117" s="144"/>
      <c r="DR117" s="145"/>
      <c r="DS117" s="146"/>
      <c r="DT117" s="18"/>
    </row>
    <row r="118" spans="67:124" ht="15" customHeight="1" hidden="1">
      <c r="BO118" s="2">
        <v>116</v>
      </c>
      <c r="BP118" s="3" t="s">
        <v>27</v>
      </c>
      <c r="BQ118" s="144">
        <v>4</v>
      </c>
      <c r="BR118" s="144">
        <v>3</v>
      </c>
      <c r="BS118" s="144">
        <v>2</v>
      </c>
      <c r="BT118" s="144">
        <v>9</v>
      </c>
      <c r="BU118" s="145" t="s">
        <v>410</v>
      </c>
      <c r="BV118" s="146">
        <v>60000</v>
      </c>
      <c r="BY118" s="18">
        <v>1</v>
      </c>
      <c r="BZ118" s="18" t="s">
        <v>413</v>
      </c>
      <c r="CA118" s="22"/>
      <c r="CC118" s="18"/>
      <c r="CD118" s="18"/>
      <c r="CE118" s="18"/>
      <c r="CF118" s="18"/>
      <c r="CG118" s="22"/>
      <c r="CH118" s="18"/>
      <c r="CI118" s="36"/>
      <c r="CJ118" s="18"/>
      <c r="CK118" s="22"/>
      <c r="DL118" s="2"/>
      <c r="DM118" s="3"/>
      <c r="DN118" s="144"/>
      <c r="DO118" s="144"/>
      <c r="DP118" s="144"/>
      <c r="DQ118" s="144"/>
      <c r="DR118" s="145"/>
      <c r="DS118" s="146"/>
      <c r="DT118" s="18"/>
    </row>
    <row r="119" spans="67:124" ht="15" customHeight="1" hidden="1">
      <c r="BO119" s="2">
        <v>117</v>
      </c>
      <c r="BP119" s="3" t="s">
        <v>317</v>
      </c>
      <c r="BQ119" s="144">
        <v>6</v>
      </c>
      <c r="BR119" s="144">
        <v>5</v>
      </c>
      <c r="BS119" s="144">
        <v>4</v>
      </c>
      <c r="BT119" s="144">
        <v>9</v>
      </c>
      <c r="BU119" s="145" t="s">
        <v>415</v>
      </c>
      <c r="BV119" s="146">
        <v>390000</v>
      </c>
      <c r="BY119" s="18">
        <v>1</v>
      </c>
      <c r="BZ119" s="18" t="s">
        <v>414</v>
      </c>
      <c r="CA119" s="22"/>
      <c r="CC119" s="18"/>
      <c r="CD119" s="18"/>
      <c r="CE119" s="18"/>
      <c r="CF119" s="18"/>
      <c r="CG119" s="22"/>
      <c r="CH119" s="18"/>
      <c r="CI119" s="36"/>
      <c r="CJ119" s="18"/>
      <c r="CK119" s="22"/>
      <c r="DL119" s="2"/>
      <c r="DM119" s="3"/>
      <c r="DN119" s="144"/>
      <c r="DO119" s="144"/>
      <c r="DP119" s="144"/>
      <c r="DQ119" s="144"/>
      <c r="DR119" s="145"/>
      <c r="DS119" s="146"/>
      <c r="DT119" s="18"/>
    </row>
    <row r="120" spans="67:124" ht="15" customHeight="1" hidden="1">
      <c r="BO120" s="2">
        <v>118</v>
      </c>
      <c r="BP120" s="3" t="s">
        <v>416</v>
      </c>
      <c r="BQ120" s="144">
        <v>6</v>
      </c>
      <c r="BR120" s="144">
        <v>3</v>
      </c>
      <c r="BS120" s="144">
        <v>3</v>
      </c>
      <c r="BT120" s="144">
        <v>8</v>
      </c>
      <c r="BU120" s="145" t="s">
        <v>417</v>
      </c>
      <c r="BV120" s="146">
        <v>120000</v>
      </c>
      <c r="BY120" s="18">
        <v>1</v>
      </c>
      <c r="BZ120" s="18" t="s">
        <v>479</v>
      </c>
      <c r="CA120" s="22"/>
      <c r="CC120" s="18"/>
      <c r="CD120" s="18"/>
      <c r="CE120" s="18"/>
      <c r="CF120" s="18"/>
      <c r="CG120" s="22"/>
      <c r="CH120" s="18"/>
      <c r="CI120" s="36"/>
      <c r="CJ120" s="18"/>
      <c r="CK120" s="22"/>
      <c r="DL120" s="2"/>
      <c r="DM120" s="3"/>
      <c r="DN120" s="144"/>
      <c r="DO120" s="144"/>
      <c r="DP120" s="144"/>
      <c r="DQ120" s="144"/>
      <c r="DR120" s="145"/>
      <c r="DS120" s="146"/>
      <c r="DT120" s="18"/>
    </row>
    <row r="121" spans="67:124" ht="15" customHeight="1" hidden="1">
      <c r="BO121" s="2">
        <v>119</v>
      </c>
      <c r="BP121" s="3" t="s">
        <v>55</v>
      </c>
      <c r="BQ121" s="144">
        <v>2</v>
      </c>
      <c r="BR121" s="144">
        <v>7</v>
      </c>
      <c r="BS121" s="144">
        <v>1</v>
      </c>
      <c r="BT121" s="144">
        <v>10</v>
      </c>
      <c r="BU121" s="145" t="s">
        <v>286</v>
      </c>
      <c r="BV121" s="146">
        <v>300000</v>
      </c>
      <c r="BY121" s="18">
        <v>1</v>
      </c>
      <c r="BZ121" s="18" t="s">
        <v>35</v>
      </c>
      <c r="CA121" s="22"/>
      <c r="CC121" s="18"/>
      <c r="CD121" s="18"/>
      <c r="CE121" s="18"/>
      <c r="CF121" s="18"/>
      <c r="CG121" s="22"/>
      <c r="CH121" s="18"/>
      <c r="CI121" s="36"/>
      <c r="CJ121" s="18"/>
      <c r="CK121" s="22"/>
      <c r="DL121" s="2"/>
      <c r="DM121" s="3"/>
      <c r="DN121" s="144"/>
      <c r="DO121" s="144"/>
      <c r="DP121" s="144"/>
      <c r="DQ121" s="144"/>
      <c r="DR121" s="145"/>
      <c r="DS121" s="146"/>
      <c r="DT121" s="18"/>
    </row>
    <row r="122" spans="67:124" ht="15" customHeight="1" hidden="1">
      <c r="BO122" s="2">
        <v>120</v>
      </c>
      <c r="BP122" s="3" t="s">
        <v>418</v>
      </c>
      <c r="BQ122" s="144">
        <v>7</v>
      </c>
      <c r="BR122" s="144">
        <v>3</v>
      </c>
      <c r="BS122" s="144">
        <v>4</v>
      </c>
      <c r="BT122" s="144">
        <v>7</v>
      </c>
      <c r="BU122" s="145" t="s">
        <v>420</v>
      </c>
      <c r="BV122" s="146">
        <v>150000</v>
      </c>
      <c r="BY122" s="18">
        <v>1</v>
      </c>
      <c r="BZ122" s="18" t="s">
        <v>419</v>
      </c>
      <c r="CA122" s="22"/>
      <c r="CC122" s="18"/>
      <c r="CD122" s="18"/>
      <c r="CE122" s="18"/>
      <c r="CF122" s="18"/>
      <c r="CG122" s="22"/>
      <c r="CH122" s="18"/>
      <c r="CI122" s="36"/>
      <c r="CJ122" s="18"/>
      <c r="CK122" s="22"/>
      <c r="DL122" s="2"/>
      <c r="DM122" s="3"/>
      <c r="DN122" s="144"/>
      <c r="DO122" s="144"/>
      <c r="DP122" s="144"/>
      <c r="DQ122" s="144"/>
      <c r="DR122" s="145"/>
      <c r="DS122" s="146"/>
      <c r="DT122" s="18"/>
    </row>
    <row r="123" spans="67:124" ht="15" customHeight="1" hidden="1">
      <c r="BO123" s="2">
        <v>121</v>
      </c>
      <c r="BP123" s="3" t="s">
        <v>287</v>
      </c>
      <c r="BQ123" s="144">
        <v>8</v>
      </c>
      <c r="BR123" s="144">
        <v>3</v>
      </c>
      <c r="BS123" s="144">
        <v>4</v>
      </c>
      <c r="BT123" s="144">
        <v>7</v>
      </c>
      <c r="BU123" s="145" t="s">
        <v>422</v>
      </c>
      <c r="BV123" s="146">
        <v>200000</v>
      </c>
      <c r="BY123" s="18">
        <v>1</v>
      </c>
      <c r="BZ123" s="18" t="s">
        <v>421</v>
      </c>
      <c r="CA123" s="22"/>
      <c r="CC123" s="18"/>
      <c r="CD123" s="18"/>
      <c r="CE123" s="18"/>
      <c r="CF123" s="18"/>
      <c r="CG123" s="22"/>
      <c r="CH123" s="18"/>
      <c r="CI123" s="36"/>
      <c r="CJ123" s="18"/>
      <c r="CK123" s="22"/>
      <c r="DL123" s="2"/>
      <c r="DM123" s="3"/>
      <c r="DN123" s="144"/>
      <c r="DO123" s="144"/>
      <c r="DP123" s="144"/>
      <c r="DQ123" s="144"/>
      <c r="DR123" s="145"/>
      <c r="DS123" s="146"/>
      <c r="DT123" s="18"/>
    </row>
    <row r="124" spans="67:124" ht="15" customHeight="1" hidden="1">
      <c r="BO124" s="2">
        <v>122</v>
      </c>
      <c r="BP124" s="3" t="s">
        <v>423</v>
      </c>
      <c r="BQ124" s="144">
        <v>4</v>
      </c>
      <c r="BR124" s="144">
        <v>7</v>
      </c>
      <c r="BS124" s="144">
        <v>3</v>
      </c>
      <c r="BT124" s="144">
        <v>7</v>
      </c>
      <c r="BU124" s="145" t="s">
        <v>424</v>
      </c>
      <c r="BV124" s="146">
        <v>100000</v>
      </c>
      <c r="BY124" s="18">
        <v>1</v>
      </c>
      <c r="BZ124" s="18" t="s">
        <v>476</v>
      </c>
      <c r="CA124" s="22"/>
      <c r="CC124" s="18"/>
      <c r="CD124" s="18"/>
      <c r="CE124" s="18"/>
      <c r="CF124" s="18"/>
      <c r="CG124" s="22"/>
      <c r="CH124" s="18"/>
      <c r="CI124" s="36"/>
      <c r="CJ124" s="18"/>
      <c r="CK124" s="22"/>
      <c r="DL124" s="2"/>
      <c r="DM124" s="3"/>
      <c r="DN124" s="144"/>
      <c r="DO124" s="144"/>
      <c r="DP124" s="144"/>
      <c r="DQ124" s="144"/>
      <c r="DR124" s="145"/>
      <c r="DS124" s="146"/>
      <c r="DT124" s="18"/>
    </row>
    <row r="125" spans="67:124" ht="15" customHeight="1" hidden="1">
      <c r="BO125" s="2">
        <v>123</v>
      </c>
      <c r="BP125" s="3" t="s">
        <v>288</v>
      </c>
      <c r="BQ125" s="144">
        <v>5</v>
      </c>
      <c r="BR125" s="144">
        <v>3</v>
      </c>
      <c r="BS125" s="144">
        <v>2</v>
      </c>
      <c r="BT125" s="144">
        <v>8</v>
      </c>
      <c r="BU125" s="145" t="s">
        <v>425</v>
      </c>
      <c r="BV125" s="146">
        <v>130000</v>
      </c>
      <c r="BY125" s="18">
        <v>1</v>
      </c>
      <c r="BZ125" s="18" t="s">
        <v>107</v>
      </c>
      <c r="CA125" s="22"/>
      <c r="CC125" s="18"/>
      <c r="CD125" s="18"/>
      <c r="CE125" s="18"/>
      <c r="CF125" s="18"/>
      <c r="CG125" s="22"/>
      <c r="CH125" s="18"/>
      <c r="CI125" s="36"/>
      <c r="CJ125" s="18"/>
      <c r="CK125" s="22"/>
      <c r="DL125" s="2"/>
      <c r="DM125" s="147"/>
      <c r="DN125" s="144"/>
      <c r="DO125" s="144"/>
      <c r="DP125" s="144"/>
      <c r="DQ125" s="144"/>
      <c r="DR125" s="145"/>
      <c r="DS125" s="146"/>
      <c r="DT125" s="18"/>
    </row>
    <row r="126" spans="67:124" ht="15" customHeight="1" hidden="1">
      <c r="BO126" s="2">
        <v>124</v>
      </c>
      <c r="BP126" s="3" t="s">
        <v>289</v>
      </c>
      <c r="BQ126" s="144">
        <v>4</v>
      </c>
      <c r="BR126" s="144">
        <v>7</v>
      </c>
      <c r="BS126" s="144">
        <v>3</v>
      </c>
      <c r="BT126" s="144">
        <v>7</v>
      </c>
      <c r="BU126" s="145" t="s">
        <v>290</v>
      </c>
      <c r="BV126" s="146">
        <v>80000</v>
      </c>
      <c r="BY126" s="18">
        <v>1</v>
      </c>
      <c r="BZ126" s="18" t="s">
        <v>33</v>
      </c>
      <c r="CA126" s="22"/>
      <c r="CC126" s="18"/>
      <c r="CD126" s="18"/>
      <c r="CE126" s="18"/>
      <c r="CF126" s="18"/>
      <c r="CG126" s="22"/>
      <c r="CH126" s="18"/>
      <c r="CI126" s="36"/>
      <c r="CJ126" s="18"/>
      <c r="CK126" s="22"/>
      <c r="DL126" s="2"/>
      <c r="DM126" s="3"/>
      <c r="DN126" s="144"/>
      <c r="DO126" s="144"/>
      <c r="DP126" s="144"/>
      <c r="DQ126" s="144"/>
      <c r="DR126" s="145"/>
      <c r="DS126" s="146"/>
      <c r="DT126" s="18"/>
    </row>
    <row r="127" spans="67:124" ht="15" customHeight="1" hidden="1">
      <c r="BO127" s="2">
        <v>125</v>
      </c>
      <c r="BP127" s="3" t="s">
        <v>426</v>
      </c>
      <c r="BQ127" s="144">
        <v>7</v>
      </c>
      <c r="BR127" s="144">
        <v>4</v>
      </c>
      <c r="BS127" s="144">
        <v>3</v>
      </c>
      <c r="BT127" s="144">
        <v>8</v>
      </c>
      <c r="BU127" s="145" t="s">
        <v>427</v>
      </c>
      <c r="BV127" s="146">
        <v>210000</v>
      </c>
      <c r="BY127" s="18">
        <v>1</v>
      </c>
      <c r="BZ127" s="18" t="s">
        <v>477</v>
      </c>
      <c r="CA127" s="22"/>
      <c r="CC127" s="18"/>
      <c r="CD127" s="18"/>
      <c r="CE127" s="18"/>
      <c r="CF127" s="18"/>
      <c r="CG127" s="22"/>
      <c r="CH127" s="18"/>
      <c r="CI127" s="36"/>
      <c r="CJ127" s="18"/>
      <c r="CK127" s="22"/>
      <c r="DL127" s="2"/>
      <c r="DM127" s="3"/>
      <c r="DN127" s="4"/>
      <c r="DO127" s="4"/>
      <c r="DP127" s="4"/>
      <c r="DQ127" s="4"/>
      <c r="DR127" s="20"/>
      <c r="DS127" s="5"/>
      <c r="DT127" s="18"/>
    </row>
    <row r="128" spans="67:124" ht="15" customHeight="1" hidden="1">
      <c r="BO128" s="2">
        <v>126</v>
      </c>
      <c r="BP128" s="3" t="s">
        <v>291</v>
      </c>
      <c r="BQ128" s="144">
        <v>6</v>
      </c>
      <c r="BR128" s="144">
        <v>6</v>
      </c>
      <c r="BS128" s="144">
        <v>2</v>
      </c>
      <c r="BT128" s="144">
        <v>8</v>
      </c>
      <c r="BU128" s="145" t="s">
        <v>292</v>
      </c>
      <c r="BV128" s="146">
        <v>310000</v>
      </c>
      <c r="BY128" s="18">
        <v>1</v>
      </c>
      <c r="BZ128" s="18" t="s">
        <v>428</v>
      </c>
      <c r="CA128" s="22"/>
      <c r="CC128" s="18"/>
      <c r="CD128" s="18"/>
      <c r="CE128" s="18"/>
      <c r="CF128" s="18"/>
      <c r="CG128" s="22"/>
      <c r="CH128" s="18"/>
      <c r="CI128" s="36"/>
      <c r="CJ128" s="18"/>
      <c r="CK128" s="22"/>
      <c r="DL128" s="2"/>
      <c r="DM128" s="3"/>
      <c r="DN128" s="144"/>
      <c r="DO128" s="144"/>
      <c r="DP128" s="144"/>
      <c r="DQ128" s="144"/>
      <c r="DR128" s="20"/>
      <c r="DS128" s="146"/>
      <c r="DT128" s="18"/>
    </row>
    <row r="129" spans="67:124" ht="15" customHeight="1" hidden="1">
      <c r="BO129" s="2">
        <v>127</v>
      </c>
      <c r="BP129" s="147" t="s">
        <v>4</v>
      </c>
      <c r="BQ129" s="144">
        <v>7</v>
      </c>
      <c r="BR129" s="144">
        <v>4</v>
      </c>
      <c r="BS129" s="144">
        <v>4</v>
      </c>
      <c r="BT129" s="144">
        <v>8</v>
      </c>
      <c r="BU129" s="145" t="s">
        <v>293</v>
      </c>
      <c r="BV129" s="146">
        <v>320000</v>
      </c>
      <c r="BY129" s="18">
        <v>1</v>
      </c>
      <c r="BZ129" s="18" t="s">
        <v>138</v>
      </c>
      <c r="CA129" s="22"/>
      <c r="CC129" s="18"/>
      <c r="CD129" s="18"/>
      <c r="CE129" s="18"/>
      <c r="CF129" s="18"/>
      <c r="CG129" s="22"/>
      <c r="CH129" s="18"/>
      <c r="CI129" s="36"/>
      <c r="CJ129" s="18"/>
      <c r="CK129" s="22"/>
      <c r="DL129" s="2"/>
      <c r="DM129" s="3"/>
      <c r="DN129" s="144"/>
      <c r="DO129" s="144"/>
      <c r="DP129" s="144"/>
      <c r="DQ129" s="144"/>
      <c r="DR129" s="145"/>
      <c r="DS129" s="146"/>
      <c r="DT129" s="18"/>
    </row>
    <row r="130" spans="67:124" ht="15" customHeight="1" hidden="1">
      <c r="BO130" s="2">
        <v>128</v>
      </c>
      <c r="BP130" s="3" t="s">
        <v>294</v>
      </c>
      <c r="BQ130" s="144">
        <v>5</v>
      </c>
      <c r="BR130" s="144">
        <v>4</v>
      </c>
      <c r="BS130" s="144">
        <v>3</v>
      </c>
      <c r="BT130" s="144">
        <v>8</v>
      </c>
      <c r="BU130" s="145" t="s">
        <v>429</v>
      </c>
      <c r="BV130" s="146">
        <v>220000</v>
      </c>
      <c r="BY130" s="18">
        <v>1</v>
      </c>
      <c r="BZ130" s="18" t="s">
        <v>107</v>
      </c>
      <c r="CA130" s="22"/>
      <c r="CC130" s="18"/>
      <c r="CD130" s="18"/>
      <c r="CE130" s="18"/>
      <c r="CF130" s="18"/>
      <c r="CG130" s="22"/>
      <c r="CH130" s="18"/>
      <c r="CI130" s="36"/>
      <c r="CJ130" s="18"/>
      <c r="CK130" s="22"/>
      <c r="DL130" s="2"/>
      <c r="DM130" s="3"/>
      <c r="DN130" s="144"/>
      <c r="DO130" s="144"/>
      <c r="DP130" s="144"/>
      <c r="DQ130" s="144"/>
      <c r="DR130" s="20"/>
      <c r="DS130" s="146"/>
      <c r="DT130" s="18"/>
    </row>
    <row r="131" spans="67:124" ht="15" customHeight="1" hidden="1">
      <c r="BO131" s="2">
        <v>129</v>
      </c>
      <c r="BP131" s="3" t="s">
        <v>17</v>
      </c>
      <c r="BQ131" s="4">
        <v>6</v>
      </c>
      <c r="BR131" s="4">
        <v>3</v>
      </c>
      <c r="BS131" s="4">
        <v>2</v>
      </c>
      <c r="BT131" s="4">
        <v>7</v>
      </c>
      <c r="BU131" s="20" t="s">
        <v>431</v>
      </c>
      <c r="BV131" s="5">
        <v>120000</v>
      </c>
      <c r="BY131" s="18">
        <v>1</v>
      </c>
      <c r="BZ131" s="18" t="s">
        <v>430</v>
      </c>
      <c r="CA131" s="22"/>
      <c r="CC131" s="18"/>
      <c r="CD131" s="18"/>
      <c r="CE131" s="18"/>
      <c r="CF131" s="18"/>
      <c r="CG131" s="22"/>
      <c r="CH131" s="18"/>
      <c r="CI131" s="36"/>
      <c r="CJ131" s="18"/>
      <c r="CK131" s="22"/>
      <c r="DL131" s="2"/>
      <c r="DM131" s="147"/>
      <c r="DN131" s="144"/>
      <c r="DO131" s="144"/>
      <c r="DP131" s="144"/>
      <c r="DQ131" s="144"/>
      <c r="DR131" s="145"/>
      <c r="DS131" s="146"/>
      <c r="DT131" s="18"/>
    </row>
    <row r="132" spans="67:124" ht="15" customHeight="1" hidden="1">
      <c r="BO132" s="2">
        <v>130</v>
      </c>
      <c r="BP132" s="3" t="s">
        <v>41</v>
      </c>
      <c r="BQ132" s="144">
        <v>9</v>
      </c>
      <c r="BR132" s="144">
        <v>3</v>
      </c>
      <c r="BS132" s="144">
        <v>4</v>
      </c>
      <c r="BT132" s="144">
        <v>7</v>
      </c>
      <c r="BU132" s="20" t="s">
        <v>295</v>
      </c>
      <c r="BV132" s="146">
        <v>200000</v>
      </c>
      <c r="BY132" s="18">
        <v>1</v>
      </c>
      <c r="BZ132" s="18" t="s">
        <v>37</v>
      </c>
      <c r="CA132" s="22"/>
      <c r="CC132" s="18"/>
      <c r="CD132" s="18"/>
      <c r="CE132" s="18"/>
      <c r="CF132" s="18"/>
      <c r="CG132" s="22"/>
      <c r="CH132" s="18"/>
      <c r="CI132" s="36"/>
      <c r="CJ132" s="18"/>
      <c r="CK132" s="22"/>
      <c r="DL132" s="2"/>
      <c r="DM132" s="148"/>
      <c r="DN132" s="144"/>
      <c r="DO132" s="144"/>
      <c r="DP132" s="144"/>
      <c r="DQ132" s="144"/>
      <c r="DR132" s="145"/>
      <c r="DS132" s="146"/>
      <c r="DT132" s="18"/>
    </row>
    <row r="133" spans="67:124" ht="15" customHeight="1" hidden="1">
      <c r="BO133" s="2">
        <v>131</v>
      </c>
      <c r="BP133" s="3" t="s">
        <v>296</v>
      </c>
      <c r="BQ133" s="144">
        <v>6</v>
      </c>
      <c r="BR133" s="144">
        <v>6</v>
      </c>
      <c r="BS133" s="144">
        <v>3</v>
      </c>
      <c r="BT133" s="144">
        <v>8</v>
      </c>
      <c r="BU133" s="145" t="s">
        <v>297</v>
      </c>
      <c r="BV133" s="146">
        <v>340000</v>
      </c>
      <c r="BY133" s="18">
        <v>1</v>
      </c>
      <c r="BZ133" s="18" t="s">
        <v>37</v>
      </c>
      <c r="CA133" s="22"/>
      <c r="CC133" s="18"/>
      <c r="CD133" s="18"/>
      <c r="CE133" s="18"/>
      <c r="CF133" s="18"/>
      <c r="CG133" s="22"/>
      <c r="CH133" s="18"/>
      <c r="CI133" s="36"/>
      <c r="CJ133" s="18"/>
      <c r="CK133" s="22"/>
      <c r="DL133" s="2"/>
      <c r="DM133" s="3"/>
      <c r="DN133" s="144"/>
      <c r="DO133" s="144"/>
      <c r="DP133" s="144"/>
      <c r="DQ133" s="144"/>
      <c r="DR133" s="145"/>
      <c r="DS133" s="146"/>
      <c r="DT133" s="18"/>
    </row>
    <row r="134" spans="67:124" ht="15" customHeight="1" hidden="1">
      <c r="BO134" s="2">
        <v>132</v>
      </c>
      <c r="BP134" s="3" t="s">
        <v>42</v>
      </c>
      <c r="BQ134" s="144">
        <v>6</v>
      </c>
      <c r="BR134" s="144">
        <v>3</v>
      </c>
      <c r="BS134" s="144">
        <v>3</v>
      </c>
      <c r="BT134" s="144">
        <v>8</v>
      </c>
      <c r="BU134" s="20" t="s">
        <v>433</v>
      </c>
      <c r="BV134" s="146">
        <v>110000</v>
      </c>
      <c r="BY134" s="18">
        <v>1</v>
      </c>
      <c r="BZ134" s="18" t="s">
        <v>432</v>
      </c>
      <c r="CA134" s="22"/>
      <c r="CC134" s="18"/>
      <c r="CD134" s="18"/>
      <c r="CE134" s="18"/>
      <c r="CF134" s="18"/>
      <c r="CG134" s="22"/>
      <c r="CH134" s="18"/>
      <c r="CI134" s="36"/>
      <c r="CJ134" s="18"/>
      <c r="CK134" s="22"/>
      <c r="DL134" s="2"/>
      <c r="DM134" s="148"/>
      <c r="DN134" s="144"/>
      <c r="DO134" s="144"/>
      <c r="DP134" s="144"/>
      <c r="DQ134" s="144"/>
      <c r="DR134" s="145"/>
      <c r="DS134" s="146"/>
      <c r="DT134" s="18"/>
    </row>
    <row r="135" spans="67:124" ht="15" customHeight="1" hidden="1">
      <c r="BO135" s="2">
        <v>133</v>
      </c>
      <c r="BP135" s="147" t="s">
        <v>0</v>
      </c>
      <c r="BQ135" s="144">
        <v>8</v>
      </c>
      <c r="BR135" s="144">
        <v>2</v>
      </c>
      <c r="BS135" s="144">
        <v>3</v>
      </c>
      <c r="BT135" s="144">
        <v>7</v>
      </c>
      <c r="BU135" s="145" t="s">
        <v>298</v>
      </c>
      <c r="BV135" s="146">
        <v>170000</v>
      </c>
      <c r="BY135" s="18">
        <v>1</v>
      </c>
      <c r="BZ135" s="18" t="s">
        <v>153</v>
      </c>
      <c r="CA135" s="22"/>
      <c r="CC135" s="18"/>
      <c r="CD135" s="18"/>
      <c r="CE135" s="18"/>
      <c r="CF135" s="18"/>
      <c r="CG135" s="22"/>
      <c r="CH135" s="18"/>
      <c r="CI135" s="36"/>
      <c r="CJ135" s="18"/>
      <c r="CK135" s="22"/>
      <c r="DL135" s="2"/>
      <c r="DM135" s="148"/>
      <c r="DN135" s="144"/>
      <c r="DO135" s="144"/>
      <c r="DP135" s="144"/>
      <c r="DQ135" s="144"/>
      <c r="DR135" s="145"/>
      <c r="DS135" s="146"/>
      <c r="DT135" s="18"/>
    </row>
    <row r="136" spans="67:124" ht="15" customHeight="1" hidden="1">
      <c r="BO136" s="2">
        <v>134</v>
      </c>
      <c r="BP136" s="148" t="s">
        <v>299</v>
      </c>
      <c r="BQ136" s="144">
        <v>7</v>
      </c>
      <c r="BR136" s="144">
        <v>3</v>
      </c>
      <c r="BS136" s="144">
        <v>4</v>
      </c>
      <c r="BT136" s="144">
        <v>7</v>
      </c>
      <c r="BU136" s="145" t="s">
        <v>300</v>
      </c>
      <c r="BV136" s="146">
        <v>210000</v>
      </c>
      <c r="BY136" s="18">
        <v>1</v>
      </c>
      <c r="BZ136" s="18" t="s">
        <v>93</v>
      </c>
      <c r="CA136" s="22"/>
      <c r="CC136" s="18"/>
      <c r="CD136" s="18"/>
      <c r="CE136" s="18"/>
      <c r="CF136" s="18"/>
      <c r="CG136" s="22"/>
      <c r="CH136" s="18"/>
      <c r="CI136" s="36"/>
      <c r="CJ136" s="18"/>
      <c r="CK136" s="22"/>
      <c r="DL136" s="2"/>
      <c r="DM136" s="39"/>
      <c r="DN136" s="144"/>
      <c r="DO136" s="144"/>
      <c r="DP136" s="144"/>
      <c r="DQ136" s="144"/>
      <c r="DR136" s="145"/>
      <c r="DS136" s="146"/>
      <c r="DT136" s="18"/>
    </row>
    <row r="137" spans="67:124" ht="15" customHeight="1" hidden="1">
      <c r="BO137" s="2">
        <v>135</v>
      </c>
      <c r="BP137" s="3" t="s">
        <v>301</v>
      </c>
      <c r="BQ137" s="144">
        <v>6</v>
      </c>
      <c r="BR137" s="144">
        <v>5</v>
      </c>
      <c r="BS137" s="144">
        <v>2</v>
      </c>
      <c r="BT137" s="144">
        <v>9</v>
      </c>
      <c r="BU137" s="145" t="s">
        <v>302</v>
      </c>
      <c r="BV137" s="146">
        <v>330000</v>
      </c>
      <c r="BY137" s="18">
        <v>1</v>
      </c>
      <c r="BZ137" s="18" t="s">
        <v>86</v>
      </c>
      <c r="CA137" s="22"/>
      <c r="CC137" s="18"/>
      <c r="CD137" s="18"/>
      <c r="CE137" s="18"/>
      <c r="CF137" s="18"/>
      <c r="CG137" s="22"/>
      <c r="CH137" s="18"/>
      <c r="CI137" s="36"/>
      <c r="CJ137" s="18"/>
      <c r="CK137" s="22"/>
      <c r="DL137" s="2"/>
      <c r="DM137" s="39"/>
      <c r="DN137" s="144"/>
      <c r="DO137" s="144"/>
      <c r="DP137" s="144"/>
      <c r="DQ137" s="144"/>
      <c r="DR137" s="145"/>
      <c r="DS137" s="146"/>
      <c r="DT137" s="18"/>
    </row>
    <row r="138" spans="67:124" ht="15" customHeight="1" hidden="1">
      <c r="BO138" s="2">
        <v>136</v>
      </c>
      <c r="BP138" s="148" t="s">
        <v>435</v>
      </c>
      <c r="BQ138" s="144">
        <v>7</v>
      </c>
      <c r="BR138" s="144">
        <v>4</v>
      </c>
      <c r="BS138" s="144">
        <v>4</v>
      </c>
      <c r="BT138" s="144">
        <v>8</v>
      </c>
      <c r="BU138" s="145" t="s">
        <v>318</v>
      </c>
      <c r="BV138" s="146">
        <v>260000</v>
      </c>
      <c r="BY138" s="18">
        <v>1</v>
      </c>
      <c r="BZ138" s="18" t="s">
        <v>434</v>
      </c>
      <c r="CA138" s="22"/>
      <c r="CC138" s="18"/>
      <c r="CD138" s="18"/>
      <c r="CE138" s="18"/>
      <c r="CF138" s="18"/>
      <c r="CG138" s="22"/>
      <c r="CH138" s="18"/>
      <c r="CI138" s="36"/>
      <c r="CJ138" s="18"/>
      <c r="CK138" s="22"/>
      <c r="DL138" s="2"/>
      <c r="DM138" s="39"/>
      <c r="DN138" s="144"/>
      <c r="DO138" s="144"/>
      <c r="DP138" s="144"/>
      <c r="DQ138" s="144"/>
      <c r="DR138" s="145"/>
      <c r="DS138" s="146"/>
      <c r="DT138" s="18"/>
    </row>
    <row r="139" spans="67:124" ht="15" customHeight="1" hidden="1">
      <c r="BO139" s="2">
        <v>137</v>
      </c>
      <c r="BP139" s="148" t="s">
        <v>436</v>
      </c>
      <c r="BQ139" s="144">
        <v>7</v>
      </c>
      <c r="BR139" s="144">
        <v>2</v>
      </c>
      <c r="BS139" s="144">
        <v>3</v>
      </c>
      <c r="BT139" s="144">
        <v>7</v>
      </c>
      <c r="BU139" s="145" t="s">
        <v>437</v>
      </c>
      <c r="BV139" s="146">
        <v>130000</v>
      </c>
      <c r="BY139" s="18">
        <v>1</v>
      </c>
      <c r="BZ139" s="18" t="s">
        <v>49</v>
      </c>
      <c r="CA139" s="22"/>
      <c r="CC139" s="18"/>
      <c r="CD139" s="18"/>
      <c r="CE139" s="18"/>
      <c r="CF139" s="18"/>
      <c r="CG139" s="22"/>
      <c r="CH139" s="18"/>
      <c r="CI139" s="36"/>
      <c r="CJ139" s="18"/>
      <c r="CK139" s="22"/>
      <c r="DL139" s="2"/>
      <c r="DM139" s="3"/>
      <c r="DN139" s="144"/>
      <c r="DO139" s="144"/>
      <c r="DP139" s="144"/>
      <c r="DQ139" s="144"/>
      <c r="DR139" s="145"/>
      <c r="DS139" s="146"/>
      <c r="DT139" s="18"/>
    </row>
    <row r="140" spans="67:124" ht="15" customHeight="1" hidden="1">
      <c r="BO140" s="2">
        <v>138</v>
      </c>
      <c r="BP140" s="39" t="s">
        <v>316</v>
      </c>
      <c r="BQ140" s="144">
        <v>5</v>
      </c>
      <c r="BR140" s="144">
        <v>6</v>
      </c>
      <c r="BS140" s="144">
        <v>1</v>
      </c>
      <c r="BT140" s="144">
        <v>8</v>
      </c>
      <c r="BU140" s="145" t="s">
        <v>438</v>
      </c>
      <c r="BV140" s="146">
        <v>330000</v>
      </c>
      <c r="BY140" s="18">
        <v>1</v>
      </c>
      <c r="BZ140" s="18" t="s">
        <v>36</v>
      </c>
      <c r="CA140" s="22"/>
      <c r="CC140" s="18"/>
      <c r="CD140" s="18"/>
      <c r="CE140" s="18"/>
      <c r="CF140" s="18"/>
      <c r="CG140" s="22"/>
      <c r="CH140" s="18"/>
      <c r="CI140" s="36"/>
      <c r="CJ140" s="18"/>
      <c r="CK140" s="22"/>
      <c r="DL140" s="2"/>
      <c r="DM140" s="3"/>
      <c r="DN140" s="144"/>
      <c r="DO140" s="144"/>
      <c r="DP140" s="144"/>
      <c r="DQ140" s="144"/>
      <c r="DR140" s="145"/>
      <c r="DS140" s="146"/>
      <c r="DT140" s="18"/>
    </row>
    <row r="141" spans="67:124" ht="15" customHeight="1" hidden="1">
      <c r="BO141" s="2">
        <v>139</v>
      </c>
      <c r="BP141" s="39" t="s">
        <v>440</v>
      </c>
      <c r="BQ141" s="144">
        <v>7</v>
      </c>
      <c r="BR141" s="144">
        <v>3</v>
      </c>
      <c r="BS141" s="144">
        <v>3</v>
      </c>
      <c r="BT141" s="144">
        <v>7</v>
      </c>
      <c r="BU141" s="145" t="s">
        <v>441</v>
      </c>
      <c r="BV141" s="146">
        <v>220000</v>
      </c>
      <c r="BY141" s="18">
        <v>1</v>
      </c>
      <c r="BZ141" s="18" t="s">
        <v>439</v>
      </c>
      <c r="CA141" s="22"/>
      <c r="CC141" s="18"/>
      <c r="CD141" s="18"/>
      <c r="CE141" s="18"/>
      <c r="CF141" s="18"/>
      <c r="CG141" s="22"/>
      <c r="CH141" s="18"/>
      <c r="CI141" s="36"/>
      <c r="CJ141" s="18"/>
      <c r="CK141" s="22"/>
      <c r="DL141" s="2"/>
      <c r="DM141" s="3"/>
      <c r="DN141" s="144"/>
      <c r="DO141" s="144"/>
      <c r="DP141" s="144"/>
      <c r="DQ141" s="144"/>
      <c r="DR141" s="145"/>
      <c r="DS141" s="146"/>
      <c r="DT141" s="18"/>
    </row>
    <row r="142" spans="67:124" ht="15" customHeight="1" hidden="1">
      <c r="BO142" s="2">
        <v>140</v>
      </c>
      <c r="BP142" s="39" t="s">
        <v>442</v>
      </c>
      <c r="BQ142" s="144">
        <v>8</v>
      </c>
      <c r="BR142" s="144">
        <v>3</v>
      </c>
      <c r="BS142" s="144">
        <v>3</v>
      </c>
      <c r="BT142" s="144">
        <v>7</v>
      </c>
      <c r="BU142" s="145" t="s">
        <v>443</v>
      </c>
      <c r="BV142" s="146">
        <v>180000</v>
      </c>
      <c r="BY142" s="18">
        <v>1</v>
      </c>
      <c r="BZ142" s="18" t="s">
        <v>414</v>
      </c>
      <c r="CA142" s="22"/>
      <c r="CC142" s="18"/>
      <c r="CD142" s="18"/>
      <c r="CE142" s="18"/>
      <c r="CF142" s="18"/>
      <c r="CG142" s="22"/>
      <c r="CH142" s="18"/>
      <c r="CI142" s="36"/>
      <c r="CJ142" s="18"/>
      <c r="CK142" s="22"/>
      <c r="DL142" s="2"/>
      <c r="DM142" s="3"/>
      <c r="DN142" s="144"/>
      <c r="DO142" s="144"/>
      <c r="DP142" s="144"/>
      <c r="DQ142" s="144"/>
      <c r="DR142" s="145"/>
      <c r="DS142" s="146"/>
      <c r="DT142" s="18"/>
    </row>
    <row r="143" spans="67:124" ht="15" customHeight="1" hidden="1">
      <c r="BO143" s="2">
        <v>141</v>
      </c>
      <c r="BP143" s="3" t="s">
        <v>54</v>
      </c>
      <c r="BQ143" s="144">
        <v>8</v>
      </c>
      <c r="BR143" s="144">
        <v>3</v>
      </c>
      <c r="BS143" s="144">
        <v>5</v>
      </c>
      <c r="BT143" s="144">
        <v>7</v>
      </c>
      <c r="BU143" s="145" t="s">
        <v>319</v>
      </c>
      <c r="BV143" s="146">
        <v>260000</v>
      </c>
      <c r="BY143" s="18">
        <v>1</v>
      </c>
      <c r="BZ143" s="18" t="s">
        <v>444</v>
      </c>
      <c r="CA143" s="22"/>
      <c r="CC143" s="18"/>
      <c r="CD143" s="18"/>
      <c r="CE143" s="18"/>
      <c r="CF143" s="18"/>
      <c r="CG143" s="22"/>
      <c r="CH143" s="18"/>
      <c r="CI143" s="36"/>
      <c r="CJ143" s="18"/>
      <c r="CK143" s="22"/>
      <c r="DL143" s="2"/>
      <c r="DM143" s="147"/>
      <c r="DN143" s="144"/>
      <c r="DO143" s="144"/>
      <c r="DP143" s="144"/>
      <c r="DQ143" s="144"/>
      <c r="DR143" s="145"/>
      <c r="DS143" s="146"/>
      <c r="DT143" s="18"/>
    </row>
    <row r="144" spans="67:124" ht="15" customHeight="1" hidden="1">
      <c r="BO144" s="2">
        <v>142</v>
      </c>
      <c r="BP144" s="3" t="s">
        <v>445</v>
      </c>
      <c r="BQ144" s="144">
        <v>6</v>
      </c>
      <c r="BR144" s="144">
        <v>3</v>
      </c>
      <c r="BS144" s="144">
        <v>3</v>
      </c>
      <c r="BT144" s="144">
        <v>9</v>
      </c>
      <c r="BU144" s="145" t="s">
        <v>447</v>
      </c>
      <c r="BV144" s="146">
        <v>150000</v>
      </c>
      <c r="BY144" s="18">
        <v>1</v>
      </c>
      <c r="BZ144" s="18" t="s">
        <v>446</v>
      </c>
      <c r="CA144" s="22"/>
      <c r="CC144" s="18"/>
      <c r="CD144" s="18"/>
      <c r="CE144" s="18"/>
      <c r="CF144" s="18"/>
      <c r="CG144" s="22"/>
      <c r="CH144" s="18"/>
      <c r="CI144" s="36"/>
      <c r="CJ144" s="18"/>
      <c r="CK144" s="22"/>
      <c r="DL144" s="2"/>
      <c r="DM144" s="147"/>
      <c r="DN144" s="144"/>
      <c r="DO144" s="144"/>
      <c r="DP144" s="144"/>
      <c r="DQ144" s="144"/>
      <c r="DR144" s="145"/>
      <c r="DS144" s="146"/>
      <c r="DT144" s="18"/>
    </row>
    <row r="145" spans="67:124" ht="15" customHeight="1" hidden="1">
      <c r="BO145" s="2">
        <v>143</v>
      </c>
      <c r="BP145" s="3" t="s">
        <v>303</v>
      </c>
      <c r="BQ145" s="144">
        <v>5</v>
      </c>
      <c r="BR145" s="144">
        <v>5</v>
      </c>
      <c r="BS145" s="144">
        <v>3</v>
      </c>
      <c r="BT145" s="144">
        <v>9</v>
      </c>
      <c r="BU145" s="145" t="s">
        <v>320</v>
      </c>
      <c r="BV145" s="146">
        <v>300000</v>
      </c>
      <c r="BY145" s="18">
        <v>1</v>
      </c>
      <c r="BZ145" s="18" t="s">
        <v>446</v>
      </c>
      <c r="CA145" s="22"/>
      <c r="CC145" s="18"/>
      <c r="CD145" s="18"/>
      <c r="CE145" s="18"/>
      <c r="CF145" s="18"/>
      <c r="CG145" s="22"/>
      <c r="CH145" s="18"/>
      <c r="CI145" s="36"/>
      <c r="CJ145" s="18"/>
      <c r="CK145" s="22"/>
      <c r="DL145" s="2"/>
      <c r="DM145" s="3"/>
      <c r="DN145" s="144"/>
      <c r="DO145" s="144"/>
      <c r="DP145" s="144"/>
      <c r="DQ145" s="144"/>
      <c r="DR145" s="145"/>
      <c r="DS145" s="146"/>
      <c r="DT145" s="18"/>
    </row>
    <row r="146" spans="67:124" ht="15" customHeight="1" hidden="1">
      <c r="BO146" s="2">
        <v>144</v>
      </c>
      <c r="BP146" s="3" t="s">
        <v>448</v>
      </c>
      <c r="BQ146" s="144">
        <v>8</v>
      </c>
      <c r="BR146" s="144">
        <v>3</v>
      </c>
      <c r="BS146" s="144">
        <v>3</v>
      </c>
      <c r="BT146" s="144">
        <v>8</v>
      </c>
      <c r="BU146" s="145" t="s">
        <v>449</v>
      </c>
      <c r="BV146" s="146">
        <v>220000</v>
      </c>
      <c r="BY146" s="18">
        <v>1</v>
      </c>
      <c r="BZ146" s="18" t="s">
        <v>478</v>
      </c>
      <c r="CA146" s="22"/>
      <c r="CC146" s="18"/>
      <c r="CD146" s="18"/>
      <c r="CE146" s="18"/>
      <c r="CF146" s="18"/>
      <c r="CG146" s="22"/>
      <c r="CH146" s="18"/>
      <c r="CI146" s="36"/>
      <c r="CJ146" s="18"/>
      <c r="CK146" s="22"/>
      <c r="DL146" s="2"/>
      <c r="DM146" s="3"/>
      <c r="DN146" s="4"/>
      <c r="DO146" s="4"/>
      <c r="DP146" s="4"/>
      <c r="DQ146" s="4"/>
      <c r="DR146" s="20"/>
      <c r="DS146" s="5"/>
      <c r="DT146" s="18"/>
    </row>
    <row r="147" spans="67:124" ht="15" customHeight="1" hidden="1">
      <c r="BO147" s="2">
        <v>145</v>
      </c>
      <c r="BP147" s="147" t="s">
        <v>304</v>
      </c>
      <c r="BQ147" s="144">
        <v>5</v>
      </c>
      <c r="BR147" s="144">
        <v>4</v>
      </c>
      <c r="BS147" s="144">
        <v>3</v>
      </c>
      <c r="BT147" s="144">
        <v>8</v>
      </c>
      <c r="BU147" s="145" t="s">
        <v>450</v>
      </c>
      <c r="BV147" s="146">
        <v>130000</v>
      </c>
      <c r="BY147" s="18">
        <v>1</v>
      </c>
      <c r="BZ147" s="18" t="s">
        <v>446</v>
      </c>
      <c r="CA147" s="22"/>
      <c r="CC147" s="18"/>
      <c r="CD147" s="18"/>
      <c r="CE147" s="18"/>
      <c r="CF147" s="18"/>
      <c r="CG147" s="22"/>
      <c r="CH147" s="18"/>
      <c r="CI147" s="36"/>
      <c r="CJ147" s="18"/>
      <c r="CK147" s="22"/>
      <c r="DL147" s="2"/>
      <c r="DM147" s="39"/>
      <c r="DN147" s="4"/>
      <c r="DO147" s="4"/>
      <c r="DP147" s="4"/>
      <c r="DQ147" s="4"/>
      <c r="DR147" s="20"/>
      <c r="DS147" s="5"/>
      <c r="DT147" s="18"/>
    </row>
    <row r="148" spans="67:124" ht="15" customHeight="1" hidden="1">
      <c r="BO148" s="2">
        <v>146</v>
      </c>
      <c r="BP148" s="147" t="s">
        <v>305</v>
      </c>
      <c r="BQ148" s="144">
        <v>4</v>
      </c>
      <c r="BR148" s="144">
        <v>5</v>
      </c>
      <c r="BS148" s="144">
        <v>2</v>
      </c>
      <c r="BT148" s="144">
        <v>9</v>
      </c>
      <c r="BU148" s="145" t="s">
        <v>321</v>
      </c>
      <c r="BV148" s="146">
        <v>260000</v>
      </c>
      <c r="BY148" s="18">
        <v>1</v>
      </c>
      <c r="BZ148" s="18" t="s">
        <v>138</v>
      </c>
      <c r="CA148" s="22"/>
      <c r="CC148" s="18"/>
      <c r="CD148" s="18"/>
      <c r="CE148" s="18"/>
      <c r="CF148" s="18"/>
      <c r="CG148" s="22"/>
      <c r="CH148" s="18"/>
      <c r="CI148" s="36"/>
      <c r="CJ148" s="18"/>
      <c r="CK148" s="22"/>
      <c r="DL148" s="2"/>
      <c r="DM148" s="3"/>
      <c r="DN148" s="144"/>
      <c r="DO148" s="144"/>
      <c r="DP148" s="144"/>
      <c r="DQ148" s="144"/>
      <c r="DR148" s="145"/>
      <c r="DS148" s="146"/>
      <c r="DT148" s="18"/>
    </row>
    <row r="149" spans="67:124" ht="15" customHeight="1" hidden="1">
      <c r="BO149" s="2">
        <v>147</v>
      </c>
      <c r="BP149" s="3" t="s">
        <v>306</v>
      </c>
      <c r="BQ149" s="144">
        <v>6</v>
      </c>
      <c r="BR149" s="144">
        <v>6</v>
      </c>
      <c r="BS149" s="144">
        <v>3</v>
      </c>
      <c r="BT149" s="144">
        <v>10</v>
      </c>
      <c r="BU149" s="145" t="s">
        <v>322</v>
      </c>
      <c r="BV149" s="146">
        <v>430000</v>
      </c>
      <c r="BY149" s="18">
        <v>1</v>
      </c>
      <c r="BZ149" s="18" t="s">
        <v>451</v>
      </c>
      <c r="CA149" s="22"/>
      <c r="CC149" s="18"/>
      <c r="CD149" s="18"/>
      <c r="CE149" s="18"/>
      <c r="CF149" s="18"/>
      <c r="CG149" s="22"/>
      <c r="CH149" s="18"/>
      <c r="CI149" s="36"/>
      <c r="CJ149" s="18"/>
      <c r="CK149" s="22"/>
      <c r="DL149" s="2"/>
      <c r="DM149" s="3"/>
      <c r="DN149" s="144"/>
      <c r="DO149" s="144"/>
      <c r="DP149" s="144"/>
      <c r="DQ149" s="144"/>
      <c r="DR149" s="145"/>
      <c r="DS149" s="146"/>
      <c r="DT149" s="18"/>
    </row>
    <row r="150" spans="67:124" ht="15" customHeight="1" hidden="1">
      <c r="BO150" s="2">
        <v>148</v>
      </c>
      <c r="BP150" s="3" t="s">
        <v>307</v>
      </c>
      <c r="BQ150" s="4">
        <v>6</v>
      </c>
      <c r="BR150" s="4">
        <v>2</v>
      </c>
      <c r="BS150" s="4">
        <v>3</v>
      </c>
      <c r="BT150" s="4">
        <v>7</v>
      </c>
      <c r="BU150" s="20" t="s">
        <v>453</v>
      </c>
      <c r="BV150" s="5">
        <v>130000</v>
      </c>
      <c r="BY150" s="18">
        <v>1</v>
      </c>
      <c r="BZ150" s="18" t="s">
        <v>452</v>
      </c>
      <c r="CA150" s="22"/>
      <c r="CC150" s="18"/>
      <c r="CD150" s="18"/>
      <c r="CE150" s="18"/>
      <c r="CF150" s="18"/>
      <c r="CG150" s="22"/>
      <c r="CH150" s="18"/>
      <c r="CI150" s="36"/>
      <c r="CJ150" s="18"/>
      <c r="CK150" s="22"/>
      <c r="DL150" s="2"/>
      <c r="DM150" s="3"/>
      <c r="DN150" s="144"/>
      <c r="DO150" s="144"/>
      <c r="DP150" s="144"/>
      <c r="DQ150" s="144"/>
      <c r="DR150" s="145"/>
      <c r="DS150" s="146"/>
      <c r="DT150" s="18"/>
    </row>
    <row r="151" spans="67:124" ht="15" customHeight="1" hidden="1">
      <c r="BO151" s="2">
        <v>149</v>
      </c>
      <c r="BP151" s="39" t="s">
        <v>308</v>
      </c>
      <c r="BQ151" s="4">
        <v>7</v>
      </c>
      <c r="BR151" s="4">
        <v>4</v>
      </c>
      <c r="BS151" s="4">
        <v>4</v>
      </c>
      <c r="BT151" s="4">
        <v>8</v>
      </c>
      <c r="BU151" s="20" t="s">
        <v>323</v>
      </c>
      <c r="BV151" s="5">
        <v>230000</v>
      </c>
      <c r="BY151" s="18">
        <v>1</v>
      </c>
      <c r="BZ151" s="18" t="s">
        <v>454</v>
      </c>
      <c r="CA151" s="22"/>
      <c r="CC151" s="18"/>
      <c r="CD151" s="18"/>
      <c r="CE151" s="18"/>
      <c r="CF151" s="18"/>
      <c r="CG151" s="22"/>
      <c r="CH151" s="18"/>
      <c r="CI151" s="36"/>
      <c r="CJ151" s="18"/>
      <c r="CK151" s="22"/>
      <c r="DL151" s="2"/>
      <c r="DM151" s="3"/>
      <c r="DN151" s="144"/>
      <c r="DO151" s="144"/>
      <c r="DP151" s="144"/>
      <c r="DQ151" s="144"/>
      <c r="DR151" s="145"/>
      <c r="DS151" s="146"/>
      <c r="DT151" s="18"/>
    </row>
    <row r="152" spans="67:124" ht="15" customHeight="1" hidden="1">
      <c r="BO152" s="2">
        <v>150</v>
      </c>
      <c r="BP152" s="3" t="s">
        <v>309</v>
      </c>
      <c r="BQ152" s="144">
        <v>5</v>
      </c>
      <c r="BR152" s="144">
        <v>3</v>
      </c>
      <c r="BS152" s="144">
        <v>3</v>
      </c>
      <c r="BT152" s="144">
        <v>6</v>
      </c>
      <c r="BU152" s="145" t="s">
        <v>324</v>
      </c>
      <c r="BV152" s="146">
        <v>140000</v>
      </c>
      <c r="BY152" s="18">
        <v>1</v>
      </c>
      <c r="BZ152" s="18" t="s">
        <v>455</v>
      </c>
      <c r="CA152" s="22"/>
      <c r="CC152" s="18"/>
      <c r="CD152" s="18"/>
      <c r="CE152" s="18"/>
      <c r="CF152" s="18"/>
      <c r="CG152" s="22"/>
      <c r="CH152" s="18"/>
      <c r="CI152" s="36"/>
      <c r="CJ152" s="18"/>
      <c r="CK152" s="22"/>
      <c r="DL152" s="2"/>
      <c r="DM152" s="3"/>
      <c r="DN152" s="144"/>
      <c r="DO152" s="144"/>
      <c r="DP152" s="144"/>
      <c r="DQ152" s="144"/>
      <c r="DR152" s="145"/>
      <c r="DS152" s="146"/>
      <c r="DT152" s="18"/>
    </row>
    <row r="153" spans="67:124" ht="15" customHeight="1" hidden="1">
      <c r="BO153" s="2">
        <v>151</v>
      </c>
      <c r="BP153" s="3" t="s">
        <v>456</v>
      </c>
      <c r="BQ153" s="144">
        <v>8</v>
      </c>
      <c r="BR153" s="144">
        <v>2</v>
      </c>
      <c r="BS153" s="144">
        <v>4</v>
      </c>
      <c r="BT153" s="144">
        <v>7</v>
      </c>
      <c r="BU153" s="145" t="s">
        <v>457</v>
      </c>
      <c r="BV153" s="146">
        <v>250000</v>
      </c>
      <c r="BY153" s="18">
        <v>1</v>
      </c>
      <c r="BZ153" s="18" t="s">
        <v>478</v>
      </c>
      <c r="CA153" s="22"/>
      <c r="CC153" s="18"/>
      <c r="CD153" s="18"/>
      <c r="CE153" s="18"/>
      <c r="CF153" s="18"/>
      <c r="CG153" s="22"/>
      <c r="CH153" s="18"/>
      <c r="CI153" s="36"/>
      <c r="CJ153" s="18"/>
      <c r="CK153" s="22"/>
      <c r="DL153" s="2"/>
      <c r="DM153" s="3"/>
      <c r="DN153" s="144"/>
      <c r="DO153" s="144"/>
      <c r="DP153" s="144"/>
      <c r="DQ153" s="144"/>
      <c r="DR153" s="145"/>
      <c r="DS153" s="146"/>
      <c r="DT153" s="18"/>
    </row>
    <row r="154" spans="67:124" ht="15" customHeight="1" hidden="1">
      <c r="BO154" s="2">
        <v>152</v>
      </c>
      <c r="BP154" s="3" t="s">
        <v>5</v>
      </c>
      <c r="BQ154" s="144">
        <v>5</v>
      </c>
      <c r="BR154" s="144">
        <v>6</v>
      </c>
      <c r="BS154" s="144">
        <v>1</v>
      </c>
      <c r="BT154" s="144">
        <v>9</v>
      </c>
      <c r="BU154" s="145" t="s">
        <v>325</v>
      </c>
      <c r="BV154" s="146">
        <v>380000</v>
      </c>
      <c r="BY154" s="18">
        <v>1</v>
      </c>
      <c r="BZ154" s="18" t="s">
        <v>430</v>
      </c>
      <c r="CA154" s="22"/>
      <c r="CC154" s="18"/>
      <c r="CD154" s="18"/>
      <c r="CE154" s="18"/>
      <c r="CF154" s="18"/>
      <c r="CG154" s="22"/>
      <c r="CH154" s="18"/>
      <c r="CI154" s="36"/>
      <c r="CJ154" s="18"/>
      <c r="CK154" s="22"/>
      <c r="DL154" s="2"/>
      <c r="DM154" s="3"/>
      <c r="DN154" s="144"/>
      <c r="DO154" s="144"/>
      <c r="DP154" s="144"/>
      <c r="DQ154" s="144"/>
      <c r="DR154" s="145"/>
      <c r="DS154" s="146"/>
      <c r="DT154" s="18"/>
    </row>
    <row r="155" spans="67:124" ht="15" customHeight="1" hidden="1">
      <c r="BO155" s="2">
        <v>153</v>
      </c>
      <c r="BP155" s="3" t="s">
        <v>310</v>
      </c>
      <c r="BQ155" s="144">
        <v>7</v>
      </c>
      <c r="BR155" s="144">
        <v>3</v>
      </c>
      <c r="BS155" s="144">
        <v>3</v>
      </c>
      <c r="BT155" s="144">
        <v>7</v>
      </c>
      <c r="BU155" s="145" t="s">
        <v>326</v>
      </c>
      <c r="BV155" s="146">
        <v>200000</v>
      </c>
      <c r="BY155" s="18">
        <v>1</v>
      </c>
      <c r="BZ155" s="18" t="s">
        <v>86</v>
      </c>
      <c r="CA155" s="22"/>
      <c r="CC155" s="18"/>
      <c r="CD155" s="18"/>
      <c r="CE155" s="18"/>
      <c r="CF155" s="18"/>
      <c r="CG155" s="22"/>
      <c r="CH155" s="18"/>
      <c r="CI155" s="36"/>
      <c r="CJ155" s="18"/>
      <c r="CK155" s="22"/>
      <c r="DL155" s="2"/>
      <c r="DM155" s="3"/>
      <c r="DN155" s="144"/>
      <c r="DO155" s="144"/>
      <c r="DP155" s="144"/>
      <c r="DQ155" s="144"/>
      <c r="DR155" s="145"/>
      <c r="DS155" s="146"/>
      <c r="DT155" s="18"/>
    </row>
    <row r="156" spans="67:124" ht="15" customHeight="1" hidden="1">
      <c r="BO156" s="2">
        <v>154</v>
      </c>
      <c r="BP156" s="3" t="s">
        <v>6</v>
      </c>
      <c r="BQ156" s="144">
        <v>4</v>
      </c>
      <c r="BR156" s="144">
        <v>6</v>
      </c>
      <c r="BS156" s="144">
        <v>1</v>
      </c>
      <c r="BT156" s="144">
        <v>9</v>
      </c>
      <c r="BU156" s="145" t="s">
        <v>327</v>
      </c>
      <c r="BV156" s="146">
        <v>270000</v>
      </c>
      <c r="BY156" s="18">
        <v>1</v>
      </c>
      <c r="BZ156" s="18" t="s">
        <v>458</v>
      </c>
      <c r="CA156" s="22"/>
      <c r="CC156" s="18"/>
      <c r="CD156" s="18"/>
      <c r="CE156" s="18"/>
      <c r="CF156" s="18"/>
      <c r="CG156" s="22"/>
      <c r="CH156" s="18"/>
      <c r="CI156" s="36"/>
      <c r="CJ156" s="18"/>
      <c r="CK156" s="22"/>
      <c r="DL156" s="2"/>
      <c r="DM156" s="3"/>
      <c r="DN156" s="144"/>
      <c r="DO156" s="144"/>
      <c r="DP156" s="144"/>
      <c r="DQ156" s="144"/>
      <c r="DR156" s="145"/>
      <c r="DS156" s="146"/>
      <c r="DT156" s="18"/>
    </row>
    <row r="157" spans="67:124" ht="15" customHeight="1" hidden="1">
      <c r="BO157" s="2">
        <v>155</v>
      </c>
      <c r="BP157" s="3" t="s">
        <v>459</v>
      </c>
      <c r="BQ157" s="144">
        <v>8</v>
      </c>
      <c r="BR157" s="144">
        <v>3</v>
      </c>
      <c r="BS157" s="144">
        <v>5</v>
      </c>
      <c r="BT157" s="144">
        <v>7</v>
      </c>
      <c r="BU157" s="145" t="s">
        <v>461</v>
      </c>
      <c r="BV157" s="146">
        <v>250000</v>
      </c>
      <c r="BY157" s="18">
        <v>1</v>
      </c>
      <c r="BZ157" s="18" t="s">
        <v>460</v>
      </c>
      <c r="CA157" s="22"/>
      <c r="CC157" s="18"/>
      <c r="CD157" s="18"/>
      <c r="CE157" s="18"/>
      <c r="CF157" s="18"/>
      <c r="CG157" s="22"/>
      <c r="CH157" s="18"/>
      <c r="CI157" s="36"/>
      <c r="CJ157" s="18"/>
      <c r="CK157" s="22"/>
      <c r="DL157" s="2"/>
      <c r="DM157" s="3"/>
      <c r="DN157" s="144"/>
      <c r="DO157" s="144"/>
      <c r="DP157" s="144"/>
      <c r="DQ157" s="144"/>
      <c r="DR157" s="145"/>
      <c r="DS157" s="146"/>
      <c r="DT157" s="18"/>
    </row>
    <row r="158" spans="67:124" ht="15" customHeight="1" hidden="1">
      <c r="BO158" s="2">
        <v>156</v>
      </c>
      <c r="BP158" s="3" t="s">
        <v>311</v>
      </c>
      <c r="BQ158" s="144">
        <v>7</v>
      </c>
      <c r="BR158" s="144">
        <v>2</v>
      </c>
      <c r="BS158" s="144">
        <v>3</v>
      </c>
      <c r="BT158" s="144">
        <v>7</v>
      </c>
      <c r="BU158" s="145" t="s">
        <v>462</v>
      </c>
      <c r="BV158" s="146">
        <v>150000</v>
      </c>
      <c r="BY158" s="18">
        <v>1</v>
      </c>
      <c r="BZ158" s="18" t="s">
        <v>412</v>
      </c>
      <c r="CA158" s="22"/>
      <c r="CC158" s="18"/>
      <c r="CD158" s="18"/>
      <c r="CE158" s="18"/>
      <c r="CF158" s="18"/>
      <c r="CG158" s="22"/>
      <c r="CH158" s="18"/>
      <c r="CI158" s="36"/>
      <c r="CJ158" s="18"/>
      <c r="CK158" s="22"/>
      <c r="DL158" s="2"/>
      <c r="DM158" s="3"/>
      <c r="DN158" s="144"/>
      <c r="DO158" s="144"/>
      <c r="DP158" s="144"/>
      <c r="DQ158" s="144"/>
      <c r="DR158" s="145"/>
      <c r="DS158" s="146"/>
      <c r="DT158" s="18"/>
    </row>
    <row r="159" spans="67:124" ht="15" customHeight="1" hidden="1">
      <c r="BO159" s="2">
        <v>157</v>
      </c>
      <c r="BP159" s="3" t="s">
        <v>3</v>
      </c>
      <c r="BQ159" s="144">
        <v>6</v>
      </c>
      <c r="BR159" s="144">
        <v>4</v>
      </c>
      <c r="BS159" s="144">
        <v>2</v>
      </c>
      <c r="BT159" s="144">
        <v>8</v>
      </c>
      <c r="BU159" s="145" t="s">
        <v>328</v>
      </c>
      <c r="BV159" s="146">
        <v>220000</v>
      </c>
      <c r="BY159" s="18">
        <v>1</v>
      </c>
      <c r="BZ159" s="18" t="s">
        <v>430</v>
      </c>
      <c r="CA159" s="22"/>
      <c r="CC159" s="18"/>
      <c r="CD159" s="18"/>
      <c r="CE159" s="18"/>
      <c r="CF159" s="18"/>
      <c r="CG159" s="22"/>
      <c r="CH159" s="18"/>
      <c r="CI159" s="36"/>
      <c r="CJ159" s="18"/>
      <c r="CK159" s="22"/>
      <c r="DL159" s="2"/>
      <c r="DM159" s="3"/>
      <c r="DN159" s="144"/>
      <c r="DO159" s="144"/>
      <c r="DP159" s="144"/>
      <c r="DQ159" s="144"/>
      <c r="DR159" s="145"/>
      <c r="DS159" s="146"/>
      <c r="DT159" s="18"/>
    </row>
    <row r="160" spans="67:124" ht="15" customHeight="1" hidden="1">
      <c r="BO160" s="2">
        <v>158</v>
      </c>
      <c r="BP160" s="3" t="s">
        <v>28</v>
      </c>
      <c r="BQ160" s="144">
        <v>7</v>
      </c>
      <c r="BR160" s="144">
        <v>4</v>
      </c>
      <c r="BS160" s="144">
        <v>1</v>
      </c>
      <c r="BT160" s="144">
        <v>9</v>
      </c>
      <c r="BU160" s="145" t="s">
        <v>329</v>
      </c>
      <c r="BV160" s="146">
        <v>250000</v>
      </c>
      <c r="BY160" s="18">
        <v>1</v>
      </c>
      <c r="BZ160" s="18" t="s">
        <v>153</v>
      </c>
      <c r="CA160" s="22"/>
      <c r="CC160" s="18"/>
      <c r="CD160" s="18"/>
      <c r="CE160" s="18"/>
      <c r="CF160" s="18"/>
      <c r="CG160" s="22"/>
      <c r="CH160" s="18"/>
      <c r="CI160" s="36"/>
      <c r="CJ160" s="18"/>
      <c r="CK160" s="22"/>
      <c r="DL160" s="2"/>
      <c r="DM160" s="3"/>
      <c r="DN160" s="144"/>
      <c r="DO160" s="144"/>
      <c r="DP160" s="144"/>
      <c r="DQ160" s="144"/>
      <c r="DR160" s="145"/>
      <c r="DS160" s="146"/>
      <c r="DT160" s="18"/>
    </row>
    <row r="161" spans="67:124" ht="15" customHeight="1" hidden="1">
      <c r="BO161" s="2">
        <v>159</v>
      </c>
      <c r="BP161" s="3" t="s">
        <v>463</v>
      </c>
      <c r="BQ161" s="144">
        <v>6</v>
      </c>
      <c r="BR161" s="144">
        <v>3</v>
      </c>
      <c r="BS161" s="144">
        <v>2</v>
      </c>
      <c r="BT161" s="144">
        <v>7</v>
      </c>
      <c r="BU161" s="145" t="s">
        <v>465</v>
      </c>
      <c r="BV161" s="146">
        <v>80000</v>
      </c>
      <c r="BY161" s="18">
        <v>1</v>
      </c>
      <c r="BZ161" s="18" t="s">
        <v>464</v>
      </c>
      <c r="CA161" s="22"/>
      <c r="CC161" s="18"/>
      <c r="CD161" s="18"/>
      <c r="CE161" s="18"/>
      <c r="CF161" s="18"/>
      <c r="CG161" s="22"/>
      <c r="CH161" s="18"/>
      <c r="CI161" s="36"/>
      <c r="CJ161" s="18"/>
      <c r="CK161" s="22"/>
      <c r="DL161" s="2"/>
      <c r="DM161" s="3"/>
      <c r="DN161" s="144"/>
      <c r="DO161" s="144"/>
      <c r="DP161" s="144"/>
      <c r="DQ161" s="144"/>
      <c r="DR161" s="145"/>
      <c r="DS161" s="146"/>
      <c r="DT161" s="18"/>
    </row>
    <row r="162" spans="67:124" ht="15" customHeight="1" hidden="1">
      <c r="BO162" s="2">
        <v>160</v>
      </c>
      <c r="BP162" s="3" t="s">
        <v>312</v>
      </c>
      <c r="BQ162" s="144">
        <v>9</v>
      </c>
      <c r="BR162" s="144">
        <v>2</v>
      </c>
      <c r="BS162" s="144">
        <v>4</v>
      </c>
      <c r="BT162" s="144">
        <v>7</v>
      </c>
      <c r="BU162" s="145" t="s">
        <v>330</v>
      </c>
      <c r="BV162" s="146">
        <v>160000</v>
      </c>
      <c r="BY162" s="18">
        <v>1</v>
      </c>
      <c r="BZ162" s="18" t="s">
        <v>37</v>
      </c>
      <c r="CA162" s="22"/>
      <c r="CC162" s="18"/>
      <c r="CD162" s="18"/>
      <c r="CE162" s="18"/>
      <c r="CF162" s="18"/>
      <c r="CG162" s="22"/>
      <c r="CH162" s="18"/>
      <c r="CI162" s="36"/>
      <c r="CJ162" s="18"/>
      <c r="CK162" s="22"/>
      <c r="DL162" s="2"/>
      <c r="DM162" s="3"/>
      <c r="DN162" s="144"/>
      <c r="DO162" s="144"/>
      <c r="DP162" s="144"/>
      <c r="DQ162" s="144"/>
      <c r="DR162" s="145"/>
      <c r="DS162" s="146"/>
      <c r="DT162" s="18"/>
    </row>
    <row r="163" spans="67:124" ht="15" customHeight="1" hidden="1">
      <c r="BO163" s="2">
        <v>161</v>
      </c>
      <c r="BP163" s="3" t="s">
        <v>466</v>
      </c>
      <c r="BQ163" s="144">
        <v>6</v>
      </c>
      <c r="BR163" s="144">
        <v>3</v>
      </c>
      <c r="BS163" s="144">
        <v>4</v>
      </c>
      <c r="BT163" s="144">
        <v>8</v>
      </c>
      <c r="BU163" s="145" t="s">
        <v>467</v>
      </c>
      <c r="BV163" s="146">
        <v>180000</v>
      </c>
      <c r="BY163" s="18">
        <v>1</v>
      </c>
      <c r="BZ163" s="18" t="s">
        <v>135</v>
      </c>
      <c r="CA163" s="22"/>
      <c r="CC163" s="18"/>
      <c r="CD163" s="18"/>
      <c r="CE163" s="18"/>
      <c r="CF163" s="18"/>
      <c r="CG163" s="22"/>
      <c r="CH163" s="18"/>
      <c r="CI163" s="36"/>
      <c r="CJ163" s="18"/>
      <c r="CK163" s="22"/>
      <c r="DL163" s="2"/>
      <c r="DM163" s="3"/>
      <c r="DN163" s="144"/>
      <c r="DO163" s="144"/>
      <c r="DP163" s="144"/>
      <c r="DQ163" s="144"/>
      <c r="DR163" s="145"/>
      <c r="DS163" s="146"/>
      <c r="DT163" s="18"/>
    </row>
    <row r="164" spans="67:124" ht="15" customHeight="1" hidden="1">
      <c r="BO164" s="2">
        <v>162</v>
      </c>
      <c r="BP164" s="3" t="s">
        <v>66</v>
      </c>
      <c r="BQ164" s="144">
        <v>5</v>
      </c>
      <c r="BR164" s="144">
        <v>3</v>
      </c>
      <c r="BS164" s="144">
        <v>3</v>
      </c>
      <c r="BT164" s="144">
        <v>9</v>
      </c>
      <c r="BU164" s="145" t="s">
        <v>450</v>
      </c>
      <c r="BV164" s="146">
        <v>100000</v>
      </c>
      <c r="BY164" s="18">
        <v>1</v>
      </c>
      <c r="BZ164" s="18" t="s">
        <v>184</v>
      </c>
      <c r="CA164" s="22"/>
      <c r="CC164" s="18"/>
      <c r="CD164" s="18"/>
      <c r="CE164" s="18"/>
      <c r="CF164" s="18"/>
      <c r="CG164" s="22"/>
      <c r="CH164" s="18"/>
      <c r="CI164" s="36"/>
      <c r="CJ164" s="18"/>
      <c r="CK164" s="22"/>
      <c r="DL164" s="2"/>
      <c r="DM164" s="3"/>
      <c r="DN164" s="144"/>
      <c r="DO164" s="144"/>
      <c r="DP164" s="144"/>
      <c r="DQ164" s="144"/>
      <c r="DR164" s="145"/>
      <c r="DS164" s="146"/>
      <c r="DT164" s="18"/>
    </row>
    <row r="165" spans="67:124" ht="15" customHeight="1" hidden="1">
      <c r="BO165" s="2">
        <v>163</v>
      </c>
      <c r="BP165" s="3" t="s">
        <v>313</v>
      </c>
      <c r="BQ165" s="144">
        <v>6</v>
      </c>
      <c r="BR165" s="144">
        <v>4</v>
      </c>
      <c r="BS165" s="144">
        <v>3</v>
      </c>
      <c r="BT165" s="144">
        <v>9</v>
      </c>
      <c r="BU165" s="145" t="s">
        <v>331</v>
      </c>
      <c r="BV165" s="146">
        <v>290000</v>
      </c>
      <c r="BY165" s="18">
        <v>1</v>
      </c>
      <c r="BZ165" s="18" t="s">
        <v>184</v>
      </c>
      <c r="CA165" s="22"/>
      <c r="CC165" s="18"/>
      <c r="CD165" s="18"/>
      <c r="CE165" s="18"/>
      <c r="CF165" s="18"/>
      <c r="CG165" s="22"/>
      <c r="CH165" s="18"/>
      <c r="CI165" s="36"/>
      <c r="CJ165" s="18"/>
      <c r="CK165" s="22"/>
      <c r="DL165" s="2"/>
      <c r="DM165" s="3"/>
      <c r="DN165" s="144"/>
      <c r="DO165" s="144"/>
      <c r="DP165" s="144"/>
      <c r="DQ165" s="144"/>
      <c r="DR165" s="145"/>
      <c r="DS165" s="146"/>
      <c r="DT165" s="18"/>
    </row>
    <row r="166" spans="67:124" ht="15" customHeight="1" hidden="1">
      <c r="BO166" s="25">
        <v>164</v>
      </c>
      <c r="BP166" s="3" t="s">
        <v>2</v>
      </c>
      <c r="BQ166" s="144">
        <v>8</v>
      </c>
      <c r="BR166" s="144">
        <v>4</v>
      </c>
      <c r="BS166" s="144">
        <v>3</v>
      </c>
      <c r="BT166" s="144">
        <v>8</v>
      </c>
      <c r="BU166" s="145" t="s">
        <v>332</v>
      </c>
      <c r="BV166" s="146">
        <v>240000</v>
      </c>
      <c r="BY166" s="18">
        <v>1</v>
      </c>
      <c r="BZ166" s="18" t="s">
        <v>468</v>
      </c>
      <c r="CA166" s="22"/>
      <c r="CC166" s="18"/>
      <c r="CD166" s="18"/>
      <c r="CE166" s="18"/>
      <c r="CF166" s="18"/>
      <c r="CG166" s="22"/>
      <c r="CH166" s="18"/>
      <c r="CI166" s="36"/>
      <c r="CJ166" s="18"/>
      <c r="CK166" s="22"/>
      <c r="DM166" s="153"/>
      <c r="DN166" s="65"/>
      <c r="DO166" s="65"/>
      <c r="DP166" s="65"/>
      <c r="DQ166" s="65"/>
      <c r="DR166" s="154"/>
      <c r="DS166" s="66"/>
      <c r="DT166" s="155"/>
    </row>
    <row r="167" spans="67:124" ht="15" customHeight="1" hidden="1">
      <c r="BO167" s="25">
        <v>165</v>
      </c>
      <c r="BP167" s="3" t="s">
        <v>470</v>
      </c>
      <c r="BQ167" s="144">
        <v>5</v>
      </c>
      <c r="BR167" s="144">
        <v>4</v>
      </c>
      <c r="BS167" s="144">
        <v>3</v>
      </c>
      <c r="BT167" s="144">
        <v>8</v>
      </c>
      <c r="BU167" s="145" t="s">
        <v>469</v>
      </c>
      <c r="BV167" s="146">
        <v>150000</v>
      </c>
      <c r="BY167" s="18">
        <v>1</v>
      </c>
      <c r="BZ167" s="18" t="s">
        <v>471</v>
      </c>
      <c r="CA167" s="22"/>
      <c r="CC167" s="18"/>
      <c r="CD167" s="18"/>
      <c r="CE167" s="18"/>
      <c r="CF167" s="18"/>
      <c r="CG167" s="22"/>
      <c r="CH167" s="18"/>
      <c r="CI167" s="36"/>
      <c r="CJ167" s="18"/>
      <c r="CK167" s="22"/>
      <c r="DM167" s="156"/>
      <c r="DN167" s="4"/>
      <c r="DO167" s="4"/>
      <c r="DP167" s="4"/>
      <c r="DQ167" s="4"/>
      <c r="DR167" s="20"/>
      <c r="DS167" s="5"/>
      <c r="DT167" s="157"/>
    </row>
    <row r="168" spans="67:124" ht="15" customHeight="1" hidden="1">
      <c r="BO168" s="25">
        <v>166</v>
      </c>
      <c r="BP168" s="3" t="s">
        <v>314</v>
      </c>
      <c r="BQ168" s="144">
        <v>6</v>
      </c>
      <c r="BR168" s="144">
        <v>4</v>
      </c>
      <c r="BS168" s="144">
        <v>3</v>
      </c>
      <c r="BT168" s="144">
        <v>8</v>
      </c>
      <c r="BU168" s="145" t="s">
        <v>333</v>
      </c>
      <c r="BV168" s="146">
        <v>270000</v>
      </c>
      <c r="BY168" s="18">
        <v>1</v>
      </c>
      <c r="BZ168" s="18" t="s">
        <v>472</v>
      </c>
      <c r="CA168" s="22"/>
      <c r="CC168" s="18"/>
      <c r="CD168" s="18"/>
      <c r="CE168" s="18"/>
      <c r="CF168" s="18"/>
      <c r="CG168" s="22"/>
      <c r="CH168" s="18"/>
      <c r="CI168" s="36"/>
      <c r="CJ168" s="18"/>
      <c r="CK168" s="22"/>
      <c r="DM168" s="156"/>
      <c r="DN168" s="38"/>
      <c r="DO168" s="38"/>
      <c r="DP168" s="38"/>
      <c r="DQ168" s="38"/>
      <c r="DR168" s="20"/>
      <c r="DS168" s="67"/>
      <c r="DT168" s="157"/>
    </row>
    <row r="169" spans="67:124" ht="15" customHeight="1" hidden="1">
      <c r="BO169" s="25">
        <v>167</v>
      </c>
      <c r="BP169" s="3" t="s">
        <v>315</v>
      </c>
      <c r="BQ169" s="144">
        <v>4</v>
      </c>
      <c r="BR169" s="144">
        <v>4</v>
      </c>
      <c r="BS169" s="144">
        <v>3</v>
      </c>
      <c r="BT169" s="144">
        <v>9</v>
      </c>
      <c r="BU169" s="145" t="s">
        <v>334</v>
      </c>
      <c r="BV169" s="146">
        <v>90000</v>
      </c>
      <c r="BY169" s="18">
        <v>1</v>
      </c>
      <c r="BZ169" s="18" t="s">
        <v>86</v>
      </c>
      <c r="CA169" s="22"/>
      <c r="CC169" s="18"/>
      <c r="CD169" s="18"/>
      <c r="CE169" s="18"/>
      <c r="CF169" s="18"/>
      <c r="CG169" s="22"/>
      <c r="CH169" s="18"/>
      <c r="CI169" s="36"/>
      <c r="CJ169" s="18"/>
      <c r="CK169" s="22"/>
      <c r="DM169" s="152"/>
      <c r="DN169" s="4"/>
      <c r="DO169" s="4"/>
      <c r="DP169" s="4"/>
      <c r="DQ169" s="4"/>
      <c r="DR169" s="20"/>
      <c r="DS169" s="5"/>
      <c r="DT169" s="157"/>
    </row>
    <row r="170" spans="67:124" ht="15" customHeight="1" hidden="1">
      <c r="BO170" s="25">
        <v>168</v>
      </c>
      <c r="BP170" s="153" t="s">
        <v>486</v>
      </c>
      <c r="BQ170" s="65">
        <v>6</v>
      </c>
      <c r="BR170" s="65">
        <v>3</v>
      </c>
      <c r="BS170" s="65">
        <v>3</v>
      </c>
      <c r="BT170" s="65">
        <v>7</v>
      </c>
      <c r="BU170" s="154" t="s">
        <v>487</v>
      </c>
      <c r="BV170" s="66">
        <v>50000</v>
      </c>
      <c r="BW170" s="66" t="s">
        <v>18</v>
      </c>
      <c r="BX170" s="66" t="s">
        <v>70</v>
      </c>
      <c r="BY170" s="66">
        <v>11</v>
      </c>
      <c r="BZ170" s="155" t="s">
        <v>78</v>
      </c>
      <c r="CA170" s="22"/>
      <c r="CC170" s="18"/>
      <c r="CD170" s="18"/>
      <c r="CE170" s="18"/>
      <c r="CF170" s="18"/>
      <c r="CG170" s="22"/>
      <c r="CH170" s="18"/>
      <c r="CI170" s="36"/>
      <c r="CJ170" s="18"/>
      <c r="CK170" s="22"/>
      <c r="DM170" s="152"/>
      <c r="DN170" s="4"/>
      <c r="DO170" s="4"/>
      <c r="DP170" s="4"/>
      <c r="DQ170" s="4"/>
      <c r="DR170" s="20"/>
      <c r="DS170" s="5"/>
      <c r="DT170" s="157"/>
    </row>
    <row r="171" spans="67:124" ht="15" customHeight="1" hidden="1">
      <c r="BO171" s="25">
        <v>169</v>
      </c>
      <c r="BP171" s="156" t="s">
        <v>488</v>
      </c>
      <c r="BQ171" s="4">
        <v>6</v>
      </c>
      <c r="BR171" s="4">
        <v>3</v>
      </c>
      <c r="BS171" s="4">
        <v>3</v>
      </c>
      <c r="BT171" s="4">
        <v>8</v>
      </c>
      <c r="BU171" s="20" t="s">
        <v>489</v>
      </c>
      <c r="BV171" s="5">
        <v>60000</v>
      </c>
      <c r="BW171" s="5" t="s">
        <v>84</v>
      </c>
      <c r="BX171" s="5" t="s">
        <v>68</v>
      </c>
      <c r="BY171" s="67">
        <v>11</v>
      </c>
      <c r="BZ171" s="157" t="s">
        <v>34</v>
      </c>
      <c r="CA171" s="22"/>
      <c r="CC171" s="18"/>
      <c r="CD171" s="18"/>
      <c r="CE171" s="18"/>
      <c r="CF171" s="18"/>
      <c r="CG171" s="22"/>
      <c r="CH171" s="18"/>
      <c r="CI171" s="36"/>
      <c r="CJ171" s="18"/>
      <c r="CK171" s="22"/>
      <c r="DM171" s="156"/>
      <c r="DN171" s="4"/>
      <c r="DO171" s="4"/>
      <c r="DP171" s="4"/>
      <c r="DQ171" s="4"/>
      <c r="DR171" s="20"/>
      <c r="DS171" s="67"/>
      <c r="DT171" s="157"/>
    </row>
    <row r="172" spans="67:124" ht="15" customHeight="1" hidden="1">
      <c r="BO172" s="25">
        <v>170</v>
      </c>
      <c r="BP172" s="156" t="s">
        <v>490</v>
      </c>
      <c r="BQ172" s="38">
        <v>6</v>
      </c>
      <c r="BR172" s="38">
        <v>3</v>
      </c>
      <c r="BS172" s="38">
        <v>3</v>
      </c>
      <c r="BT172" s="38">
        <v>7</v>
      </c>
      <c r="BU172" s="20" t="s">
        <v>491</v>
      </c>
      <c r="BV172" s="67">
        <v>40000</v>
      </c>
      <c r="BW172" s="67" t="s">
        <v>18</v>
      </c>
      <c r="BX172" s="67" t="s">
        <v>70</v>
      </c>
      <c r="BY172" s="67">
        <v>11</v>
      </c>
      <c r="BZ172" s="157" t="s">
        <v>86</v>
      </c>
      <c r="CA172" s="22"/>
      <c r="CC172" s="18"/>
      <c r="CD172" s="18"/>
      <c r="CE172" s="18"/>
      <c r="CF172" s="18"/>
      <c r="CG172" s="22"/>
      <c r="CH172" s="18"/>
      <c r="CI172" s="36"/>
      <c r="CJ172" s="18"/>
      <c r="CK172" s="22"/>
      <c r="DM172" s="152"/>
      <c r="DN172" s="4"/>
      <c r="DO172" s="4"/>
      <c r="DP172" s="4"/>
      <c r="DQ172" s="4"/>
      <c r="DR172" s="20"/>
      <c r="DS172" s="5"/>
      <c r="DT172" s="157"/>
    </row>
    <row r="173" spans="67:124" ht="15" customHeight="1" hidden="1">
      <c r="BO173" s="25">
        <v>171</v>
      </c>
      <c r="BP173" s="152" t="s">
        <v>492</v>
      </c>
      <c r="BQ173" s="4">
        <v>6</v>
      </c>
      <c r="BR173" s="4">
        <v>3</v>
      </c>
      <c r="BS173" s="4">
        <v>3</v>
      </c>
      <c r="BT173" s="4">
        <v>8</v>
      </c>
      <c r="BU173" s="20" t="s">
        <v>491</v>
      </c>
      <c r="BV173" s="5">
        <v>50000</v>
      </c>
      <c r="BW173" s="5" t="s">
        <v>371</v>
      </c>
      <c r="BX173" s="5" t="s">
        <v>43</v>
      </c>
      <c r="BY173" s="67">
        <v>11</v>
      </c>
      <c r="BZ173" s="157" t="s">
        <v>369</v>
      </c>
      <c r="CA173" s="22"/>
      <c r="CC173" s="18"/>
      <c r="CD173" s="18"/>
      <c r="CE173" s="18"/>
      <c r="CF173" s="18"/>
      <c r="CG173" s="22"/>
      <c r="CH173" s="18"/>
      <c r="CI173" s="36"/>
      <c r="CJ173" s="18"/>
      <c r="CK173" s="22"/>
      <c r="DM173" s="152"/>
      <c r="DN173" s="4"/>
      <c r="DO173" s="4"/>
      <c r="DP173" s="4"/>
      <c r="DQ173" s="4"/>
      <c r="DR173" s="20"/>
      <c r="DS173" s="5"/>
      <c r="DT173" s="157"/>
    </row>
    <row r="174" spans="67:124" ht="15" customHeight="1" hidden="1">
      <c r="BO174" s="25">
        <v>172</v>
      </c>
      <c r="BP174" s="152" t="s">
        <v>493</v>
      </c>
      <c r="BQ174" s="4">
        <v>6</v>
      </c>
      <c r="BR174" s="4">
        <v>3</v>
      </c>
      <c r="BS174" s="4">
        <v>4</v>
      </c>
      <c r="BT174" s="4">
        <v>8</v>
      </c>
      <c r="BU174" s="20" t="s">
        <v>491</v>
      </c>
      <c r="BV174" s="5">
        <v>70000</v>
      </c>
      <c r="BW174" s="5" t="s">
        <v>69</v>
      </c>
      <c r="BX174" s="5" t="s">
        <v>72</v>
      </c>
      <c r="BY174" s="67">
        <v>11</v>
      </c>
      <c r="BZ174" s="157" t="s">
        <v>93</v>
      </c>
      <c r="CA174" s="22"/>
      <c r="CC174" s="18"/>
      <c r="CD174" s="18"/>
      <c r="CE174" s="18"/>
      <c r="CF174" s="18"/>
      <c r="CG174" s="22"/>
      <c r="CH174" s="18"/>
      <c r="CI174" s="36"/>
      <c r="CJ174" s="18"/>
      <c r="CK174" s="22"/>
      <c r="DM174" s="156"/>
      <c r="DN174" s="4"/>
      <c r="DO174" s="4"/>
      <c r="DP174" s="4"/>
      <c r="DQ174" s="4"/>
      <c r="DR174" s="20"/>
      <c r="DS174" s="5"/>
      <c r="DT174" s="157"/>
    </row>
    <row r="175" spans="67:124" ht="15" customHeight="1" hidden="1">
      <c r="BO175" s="25">
        <v>173</v>
      </c>
      <c r="BP175" s="152" t="s">
        <v>754</v>
      </c>
      <c r="BQ175" s="4">
        <v>6</v>
      </c>
      <c r="BR175" s="4">
        <v>3</v>
      </c>
      <c r="BS175" s="4">
        <v>3</v>
      </c>
      <c r="BT175" s="4">
        <v>8</v>
      </c>
      <c r="BU175" s="20" t="s">
        <v>170</v>
      </c>
      <c r="BV175" s="5">
        <v>60000</v>
      </c>
      <c r="BW175" s="5" t="s">
        <v>67</v>
      </c>
      <c r="BX175" s="5" t="s">
        <v>71</v>
      </c>
      <c r="BY175" s="67">
        <v>16</v>
      </c>
      <c r="BZ175" s="157" t="s">
        <v>747</v>
      </c>
      <c r="CA175" s="22"/>
      <c r="CC175" s="18"/>
      <c r="CD175" s="18"/>
      <c r="CE175" s="18"/>
      <c r="CF175" s="18"/>
      <c r="CG175" s="22"/>
      <c r="CH175" s="18"/>
      <c r="CI175" s="36"/>
      <c r="CJ175" s="18"/>
      <c r="CK175" s="22"/>
      <c r="DM175" s="152"/>
      <c r="DN175" s="4"/>
      <c r="DO175" s="4"/>
      <c r="DP175" s="4"/>
      <c r="DQ175" s="4"/>
      <c r="DR175" s="20"/>
      <c r="DS175" s="5"/>
      <c r="DT175" s="157"/>
    </row>
    <row r="176" spans="67:124" ht="15" customHeight="1" hidden="1">
      <c r="BO176" s="25">
        <v>174</v>
      </c>
      <c r="BP176" s="156" t="s">
        <v>494</v>
      </c>
      <c r="BQ176" s="4">
        <v>4</v>
      </c>
      <c r="BR176" s="4">
        <v>3</v>
      </c>
      <c r="BS176" s="4">
        <v>2</v>
      </c>
      <c r="BT176" s="4">
        <v>9</v>
      </c>
      <c r="BU176" s="20" t="s">
        <v>495</v>
      </c>
      <c r="BV176" s="67">
        <v>70000</v>
      </c>
      <c r="BW176" s="67" t="s">
        <v>73</v>
      </c>
      <c r="BX176" s="67" t="s">
        <v>68</v>
      </c>
      <c r="BY176" s="67">
        <v>11</v>
      </c>
      <c r="BZ176" s="157" t="s">
        <v>107</v>
      </c>
      <c r="CA176" s="22"/>
      <c r="CC176" s="18"/>
      <c r="CD176" s="18"/>
      <c r="CE176" s="18"/>
      <c r="CF176" s="18"/>
      <c r="CG176" s="22"/>
      <c r="CH176" s="18"/>
      <c r="CI176" s="36"/>
      <c r="CJ176" s="18"/>
      <c r="CK176" s="22"/>
      <c r="DM176" s="152"/>
      <c r="DN176" s="38"/>
      <c r="DO176" s="38"/>
      <c r="DP176" s="38"/>
      <c r="DQ176" s="38"/>
      <c r="DR176" s="20"/>
      <c r="DS176" s="67"/>
      <c r="DT176" s="157"/>
    </row>
    <row r="177" spans="67:124" ht="15" customHeight="1" hidden="1">
      <c r="BO177" s="25">
        <v>175</v>
      </c>
      <c r="BP177" s="152" t="s">
        <v>496</v>
      </c>
      <c r="BQ177" s="4">
        <v>6</v>
      </c>
      <c r="BR177" s="4">
        <v>3</v>
      </c>
      <c r="BS177" s="4">
        <v>4</v>
      </c>
      <c r="BT177" s="4">
        <v>7</v>
      </c>
      <c r="BU177" s="20" t="s">
        <v>491</v>
      </c>
      <c r="BV177" s="5">
        <v>60000</v>
      </c>
      <c r="BW177" s="5" t="s">
        <v>69</v>
      </c>
      <c r="BX177" s="5" t="s">
        <v>72</v>
      </c>
      <c r="BY177" s="67">
        <v>11</v>
      </c>
      <c r="BZ177" s="157" t="s">
        <v>50</v>
      </c>
      <c r="CA177" s="22"/>
      <c r="CC177" s="18"/>
      <c r="CD177" s="18"/>
      <c r="CE177" s="18"/>
      <c r="CF177" s="18"/>
      <c r="CG177" s="22"/>
      <c r="CH177" s="18"/>
      <c r="CI177" s="36"/>
      <c r="CJ177" s="18"/>
      <c r="CK177" s="22"/>
      <c r="DM177" s="152"/>
      <c r="DN177" s="4"/>
      <c r="DO177" s="4"/>
      <c r="DP177" s="4"/>
      <c r="DQ177" s="4"/>
      <c r="DR177" s="20"/>
      <c r="DS177" s="5"/>
      <c r="DT177" s="157"/>
    </row>
    <row r="178" spans="67:124" ht="15" customHeight="1" hidden="1">
      <c r="BO178" s="25">
        <v>176</v>
      </c>
      <c r="BP178" s="152" t="s">
        <v>497</v>
      </c>
      <c r="BQ178" s="4">
        <v>6</v>
      </c>
      <c r="BR178" s="4">
        <v>2</v>
      </c>
      <c r="BS178" s="4">
        <v>3</v>
      </c>
      <c r="BT178" s="4">
        <v>7</v>
      </c>
      <c r="BU178" s="20" t="s">
        <v>285</v>
      </c>
      <c r="BV178" s="5">
        <v>40000</v>
      </c>
      <c r="BW178" s="5" t="s">
        <v>43</v>
      </c>
      <c r="BX178" s="5" t="s">
        <v>129</v>
      </c>
      <c r="BY178" s="67">
        <v>11</v>
      </c>
      <c r="BZ178" s="157" t="s">
        <v>33</v>
      </c>
      <c r="CA178" s="22"/>
      <c r="CC178" s="18"/>
      <c r="CD178" s="18"/>
      <c r="CE178" s="18"/>
      <c r="CF178" s="18"/>
      <c r="CG178" s="22"/>
      <c r="CH178" s="18"/>
      <c r="CI178" s="36"/>
      <c r="CJ178" s="18"/>
      <c r="CK178" s="22"/>
      <c r="DM178" s="152"/>
      <c r="DN178" s="38"/>
      <c r="DO178" s="38"/>
      <c r="DP178" s="38"/>
      <c r="DQ178" s="38"/>
      <c r="DR178" s="20"/>
      <c r="DS178" s="67"/>
      <c r="DT178" s="157"/>
    </row>
    <row r="179" spans="67:124" ht="15" customHeight="1" hidden="1">
      <c r="BO179" s="25">
        <v>177</v>
      </c>
      <c r="BP179" s="156" t="s">
        <v>498</v>
      </c>
      <c r="BQ179" s="4">
        <v>5</v>
      </c>
      <c r="BR179" s="4">
        <v>2</v>
      </c>
      <c r="BS179" s="4">
        <v>3</v>
      </c>
      <c r="BT179" s="4">
        <v>6</v>
      </c>
      <c r="BU179" s="20" t="s">
        <v>285</v>
      </c>
      <c r="BV179" s="5">
        <v>30000</v>
      </c>
      <c r="BW179" s="5" t="s">
        <v>43</v>
      </c>
      <c r="BX179" s="5" t="s">
        <v>129</v>
      </c>
      <c r="BY179" s="67">
        <v>11</v>
      </c>
      <c r="BZ179" s="157" t="s">
        <v>35</v>
      </c>
      <c r="CA179" s="22"/>
      <c r="CC179" s="18"/>
      <c r="CD179" s="18"/>
      <c r="CE179" s="18"/>
      <c r="CF179" s="18"/>
      <c r="CG179" s="22"/>
      <c r="CH179" s="18"/>
      <c r="CI179" s="36"/>
      <c r="CJ179" s="18"/>
      <c r="CK179" s="22"/>
      <c r="DM179" s="152"/>
      <c r="DN179" s="38"/>
      <c r="DO179" s="38"/>
      <c r="DP179" s="38"/>
      <c r="DQ179" s="38"/>
      <c r="DR179" s="20"/>
      <c r="DS179" s="67"/>
      <c r="DT179" s="157"/>
    </row>
    <row r="180" spans="67:124" ht="15" customHeight="1" hidden="1">
      <c r="BO180" s="25">
        <v>178</v>
      </c>
      <c r="BP180" s="152" t="s">
        <v>499</v>
      </c>
      <c r="BQ180" s="4">
        <v>6</v>
      </c>
      <c r="BR180" s="4">
        <v>3</v>
      </c>
      <c r="BS180" s="4">
        <v>4</v>
      </c>
      <c r="BT180" s="4">
        <v>8</v>
      </c>
      <c r="BU180" s="20" t="s">
        <v>491</v>
      </c>
      <c r="BV180" s="5">
        <v>70000</v>
      </c>
      <c r="BW180" s="5" t="s">
        <v>69</v>
      </c>
      <c r="BX180" s="5" t="s">
        <v>72</v>
      </c>
      <c r="BY180" s="67">
        <v>11</v>
      </c>
      <c r="BZ180" s="157" t="s">
        <v>135</v>
      </c>
      <c r="CA180" s="22"/>
      <c r="CC180" s="18"/>
      <c r="CD180" s="18"/>
      <c r="CE180" s="18"/>
      <c r="CF180" s="18"/>
      <c r="CG180" s="22"/>
      <c r="CH180" s="18"/>
      <c r="CI180" s="36"/>
      <c r="CJ180" s="18"/>
      <c r="CK180" s="22"/>
      <c r="DM180" s="156"/>
      <c r="DN180" s="38"/>
      <c r="DO180" s="38"/>
      <c r="DP180" s="38"/>
      <c r="DQ180" s="38"/>
      <c r="DR180" s="20"/>
      <c r="DS180" s="67"/>
      <c r="DT180" s="157"/>
    </row>
    <row r="181" spans="67:124" ht="15" customHeight="1" hidden="1">
      <c r="BO181" s="25">
        <v>179</v>
      </c>
      <c r="BP181" s="152" t="s">
        <v>500</v>
      </c>
      <c r="BQ181" s="38">
        <v>6</v>
      </c>
      <c r="BR181" s="38">
        <v>3</v>
      </c>
      <c r="BS181" s="38">
        <v>3</v>
      </c>
      <c r="BT181" s="38">
        <v>8</v>
      </c>
      <c r="BU181" s="20" t="s">
        <v>491</v>
      </c>
      <c r="BV181" s="67">
        <v>50000</v>
      </c>
      <c r="BW181" s="67" t="s">
        <v>18</v>
      </c>
      <c r="BX181" s="67" t="s">
        <v>70</v>
      </c>
      <c r="BY181" s="67">
        <v>11</v>
      </c>
      <c r="BZ181" s="157" t="s">
        <v>138</v>
      </c>
      <c r="CC181" s="18"/>
      <c r="CD181" s="18"/>
      <c r="CE181" s="18"/>
      <c r="DM181" s="152"/>
      <c r="DN181" s="38"/>
      <c r="DO181" s="38"/>
      <c r="DP181" s="38"/>
      <c r="DQ181" s="38"/>
      <c r="DR181" s="20"/>
      <c r="DS181" s="67"/>
      <c r="DT181" s="157"/>
    </row>
    <row r="182" spans="67:124" ht="15" customHeight="1" hidden="1">
      <c r="BO182" s="25">
        <v>180</v>
      </c>
      <c r="BP182" s="152" t="s">
        <v>501</v>
      </c>
      <c r="BQ182" s="4">
        <v>5</v>
      </c>
      <c r="BR182" s="4">
        <v>3</v>
      </c>
      <c r="BS182" s="4">
        <v>2</v>
      </c>
      <c r="BT182" s="4">
        <v>7</v>
      </c>
      <c r="BU182" s="20" t="s">
        <v>502</v>
      </c>
      <c r="BV182" s="5">
        <v>40000</v>
      </c>
      <c r="BW182" s="5" t="s">
        <v>18</v>
      </c>
      <c r="BX182" s="5" t="s">
        <v>70</v>
      </c>
      <c r="BY182" s="67">
        <v>11</v>
      </c>
      <c r="BZ182" s="157" t="s">
        <v>49</v>
      </c>
      <c r="CC182" s="18"/>
      <c r="CD182" s="18"/>
      <c r="CE182" s="18"/>
      <c r="DM182" s="152"/>
      <c r="DN182" s="38"/>
      <c r="DO182" s="38"/>
      <c r="DP182" s="38"/>
      <c r="DQ182" s="38"/>
      <c r="DR182" s="20"/>
      <c r="DS182" s="67"/>
      <c r="DT182" s="157"/>
    </row>
    <row r="183" spans="67:124" ht="15" customHeight="1" hidden="1">
      <c r="BO183" s="25">
        <v>181</v>
      </c>
      <c r="BP183" s="152" t="s">
        <v>503</v>
      </c>
      <c r="BQ183" s="38">
        <v>8</v>
      </c>
      <c r="BR183" s="38">
        <v>2</v>
      </c>
      <c r="BS183" s="38">
        <v>3</v>
      </c>
      <c r="BT183" s="38">
        <v>7</v>
      </c>
      <c r="BU183" s="20" t="s">
        <v>504</v>
      </c>
      <c r="BV183" s="67">
        <v>60000</v>
      </c>
      <c r="BW183" s="67" t="s">
        <v>43</v>
      </c>
      <c r="BX183" s="67" t="s">
        <v>129</v>
      </c>
      <c r="BY183" s="67">
        <v>11</v>
      </c>
      <c r="BZ183" s="157" t="s">
        <v>153</v>
      </c>
      <c r="CC183" s="18"/>
      <c r="CD183" s="18"/>
      <c r="CE183" s="18"/>
      <c r="DM183" s="152"/>
      <c r="DN183" s="38"/>
      <c r="DO183" s="38"/>
      <c r="DP183" s="38"/>
      <c r="DQ183" s="38"/>
      <c r="DR183" s="20"/>
      <c r="DS183" s="67"/>
      <c r="DT183" s="157"/>
    </row>
    <row r="184" spans="67:124" ht="15" customHeight="1" hidden="1">
      <c r="BO184" s="25">
        <v>182</v>
      </c>
      <c r="BP184" s="152" t="s">
        <v>505</v>
      </c>
      <c r="BQ184" s="38">
        <v>4</v>
      </c>
      <c r="BR184" s="38">
        <v>3</v>
      </c>
      <c r="BS184" s="38">
        <v>2</v>
      </c>
      <c r="BT184" s="38">
        <v>8</v>
      </c>
      <c r="BU184" s="20" t="s">
        <v>506</v>
      </c>
      <c r="BV184" s="67">
        <v>40000</v>
      </c>
      <c r="BW184" s="67" t="s">
        <v>18</v>
      </c>
      <c r="BX184" s="67" t="s">
        <v>70</v>
      </c>
      <c r="BY184" s="67">
        <v>11</v>
      </c>
      <c r="BZ184" s="157" t="s">
        <v>158</v>
      </c>
      <c r="DM184" s="152"/>
      <c r="DN184" s="38"/>
      <c r="DO184" s="38"/>
      <c r="DP184" s="38"/>
      <c r="DQ184" s="38"/>
      <c r="DR184" s="20"/>
      <c r="DS184" s="67"/>
      <c r="DT184" s="157"/>
    </row>
    <row r="185" spans="67:124" ht="15" customHeight="1" hidden="1">
      <c r="BO185" s="25">
        <v>183</v>
      </c>
      <c r="BP185" s="156" t="s">
        <v>507</v>
      </c>
      <c r="BQ185" s="38">
        <v>6</v>
      </c>
      <c r="BR185" s="38">
        <v>3</v>
      </c>
      <c r="BS185" s="38">
        <v>3</v>
      </c>
      <c r="BT185" s="38">
        <v>7</v>
      </c>
      <c r="BU185" s="20" t="s">
        <v>508</v>
      </c>
      <c r="BV185" s="67">
        <v>50000</v>
      </c>
      <c r="BW185" s="67" t="s">
        <v>18</v>
      </c>
      <c r="BX185" s="67" t="s">
        <v>70</v>
      </c>
      <c r="BY185" s="67">
        <v>11</v>
      </c>
      <c r="BZ185" s="157" t="s">
        <v>36</v>
      </c>
      <c r="DM185" s="152"/>
      <c r="DN185" s="38"/>
      <c r="DO185" s="38"/>
      <c r="DP185" s="38"/>
      <c r="DQ185" s="38"/>
      <c r="DR185" s="20"/>
      <c r="DS185" s="67"/>
      <c r="DT185" s="157"/>
    </row>
    <row r="186" spans="67:124" ht="15" customHeight="1" hidden="1">
      <c r="BO186" s="25">
        <v>184</v>
      </c>
      <c r="BP186" s="152" t="s">
        <v>509</v>
      </c>
      <c r="BQ186" s="38">
        <v>5</v>
      </c>
      <c r="BR186" s="38">
        <v>3</v>
      </c>
      <c r="BS186" s="38">
        <v>3</v>
      </c>
      <c r="BT186" s="38">
        <v>8</v>
      </c>
      <c r="BU186" s="20" t="s">
        <v>510</v>
      </c>
      <c r="BV186" s="67">
        <v>40000</v>
      </c>
      <c r="BW186" s="67" t="s">
        <v>45</v>
      </c>
      <c r="BX186" s="67" t="s">
        <v>70</v>
      </c>
      <c r="BY186" s="67">
        <v>11</v>
      </c>
      <c r="BZ186" s="157" t="s">
        <v>51</v>
      </c>
      <c r="DM186" s="152"/>
      <c r="DN186" s="4"/>
      <c r="DO186" s="4"/>
      <c r="DP186" s="4"/>
      <c r="DQ186" s="4"/>
      <c r="DR186" s="20"/>
      <c r="DS186" s="5"/>
      <c r="DT186" s="157"/>
    </row>
    <row r="187" spans="67:124" ht="15" customHeight="1" hidden="1">
      <c r="BO187" s="25">
        <v>185</v>
      </c>
      <c r="BP187" s="152" t="s">
        <v>511</v>
      </c>
      <c r="BQ187" s="38">
        <v>5</v>
      </c>
      <c r="BR187" s="38">
        <v>1</v>
      </c>
      <c r="BS187" s="38">
        <v>3</v>
      </c>
      <c r="BT187" s="38">
        <v>5</v>
      </c>
      <c r="BU187" s="20" t="s">
        <v>512</v>
      </c>
      <c r="BV187" s="67">
        <v>20000</v>
      </c>
      <c r="BW187" s="67" t="s">
        <v>43</v>
      </c>
      <c r="BX187" s="67" t="s">
        <v>129</v>
      </c>
      <c r="BY187" s="67">
        <v>11</v>
      </c>
      <c r="BZ187" s="157" t="s">
        <v>48</v>
      </c>
      <c r="DM187" s="152"/>
      <c r="DN187" s="4"/>
      <c r="DO187" s="4"/>
      <c r="DP187" s="4"/>
      <c r="DQ187" s="4"/>
      <c r="DR187" s="20"/>
      <c r="DS187" s="5"/>
      <c r="DT187" s="157"/>
    </row>
    <row r="188" spans="67:124" ht="15" customHeight="1" hidden="1">
      <c r="BO188" s="25">
        <v>186</v>
      </c>
      <c r="BP188" s="152" t="s">
        <v>513</v>
      </c>
      <c r="BQ188" s="38">
        <v>5</v>
      </c>
      <c r="BR188" s="38">
        <v>3</v>
      </c>
      <c r="BS188" s="38">
        <v>3</v>
      </c>
      <c r="BT188" s="38">
        <v>9</v>
      </c>
      <c r="BU188" s="20" t="s">
        <v>491</v>
      </c>
      <c r="BV188" s="67">
        <v>50000</v>
      </c>
      <c r="BW188" s="67" t="s">
        <v>18</v>
      </c>
      <c r="BX188" s="67" t="s">
        <v>70</v>
      </c>
      <c r="BY188" s="67">
        <v>11</v>
      </c>
      <c r="BZ188" s="157" t="s">
        <v>184</v>
      </c>
      <c r="DM188" s="152"/>
      <c r="DN188" s="38"/>
      <c r="DO188" s="38"/>
      <c r="DP188" s="38"/>
      <c r="DQ188" s="38"/>
      <c r="DR188" s="20"/>
      <c r="DS188" s="67"/>
      <c r="DT188" s="157"/>
    </row>
    <row r="189" spans="67:124" ht="15" customHeight="1" hidden="1">
      <c r="BO189" s="25">
        <v>187</v>
      </c>
      <c r="BP189" s="152" t="s">
        <v>514</v>
      </c>
      <c r="BQ189" s="38">
        <v>7</v>
      </c>
      <c r="BR189" s="38">
        <v>3</v>
      </c>
      <c r="BS189" s="38">
        <v>3</v>
      </c>
      <c r="BT189" s="38">
        <v>7</v>
      </c>
      <c r="BU189" s="20" t="s">
        <v>491</v>
      </c>
      <c r="BV189" s="67">
        <v>50000</v>
      </c>
      <c r="BW189" s="67" t="s">
        <v>18</v>
      </c>
      <c r="BX189" s="67" t="s">
        <v>194</v>
      </c>
      <c r="BY189" s="67">
        <v>11</v>
      </c>
      <c r="BZ189" s="157" t="s">
        <v>37</v>
      </c>
      <c r="DM189" s="152"/>
      <c r="DN189" s="38"/>
      <c r="DO189" s="38"/>
      <c r="DP189" s="38"/>
      <c r="DQ189" s="38"/>
      <c r="DR189" s="20"/>
      <c r="DS189" s="67"/>
      <c r="DT189" s="157"/>
    </row>
    <row r="190" spans="67:124" ht="15" customHeight="1" hidden="1">
      <c r="BO190" s="25">
        <v>188</v>
      </c>
      <c r="BP190" s="152" t="s">
        <v>515</v>
      </c>
      <c r="BQ190" s="38">
        <v>6</v>
      </c>
      <c r="BR190" s="38">
        <v>3</v>
      </c>
      <c r="BS190" s="38">
        <v>3</v>
      </c>
      <c r="BT190" s="38">
        <v>8</v>
      </c>
      <c r="BU190" s="20" t="s">
        <v>516</v>
      </c>
      <c r="BV190" s="67">
        <v>60000</v>
      </c>
      <c r="BW190" s="67" t="s">
        <v>18</v>
      </c>
      <c r="BX190" s="67" t="s">
        <v>70</v>
      </c>
      <c r="BY190" s="67">
        <v>11</v>
      </c>
      <c r="BZ190" s="157" t="s">
        <v>374</v>
      </c>
      <c r="DM190" s="158"/>
      <c r="DN190" s="60"/>
      <c r="DO190" s="60"/>
      <c r="DP190" s="60"/>
      <c r="DQ190" s="60"/>
      <c r="DR190" s="61"/>
      <c r="DS190" s="62"/>
      <c r="DT190" s="159"/>
    </row>
    <row r="191" spans="67:124" ht="15" customHeight="1" hidden="1">
      <c r="BO191" s="25">
        <v>189</v>
      </c>
      <c r="BP191" s="152" t="s">
        <v>517</v>
      </c>
      <c r="BQ191" s="4">
        <v>5</v>
      </c>
      <c r="BR191" s="4">
        <v>3</v>
      </c>
      <c r="BS191" s="4">
        <v>2</v>
      </c>
      <c r="BT191" s="4">
        <v>7</v>
      </c>
      <c r="BU191" s="20" t="s">
        <v>502</v>
      </c>
      <c r="BV191" s="5">
        <v>40000</v>
      </c>
      <c r="BW191" s="5" t="s">
        <v>18</v>
      </c>
      <c r="BX191" s="5" t="s">
        <v>70</v>
      </c>
      <c r="BY191" s="67">
        <v>11</v>
      </c>
      <c r="BZ191" s="157" t="s">
        <v>197</v>
      </c>
      <c r="DT191" s="18"/>
    </row>
    <row r="192" spans="67:124" ht="15" customHeight="1" hidden="1">
      <c r="BO192" s="25">
        <v>190</v>
      </c>
      <c r="BP192" s="152" t="s">
        <v>518</v>
      </c>
      <c r="BQ192" s="4">
        <v>4</v>
      </c>
      <c r="BR192" s="4">
        <v>3</v>
      </c>
      <c r="BS192" s="4">
        <v>2</v>
      </c>
      <c r="BT192" s="4">
        <v>8</v>
      </c>
      <c r="BU192" s="20" t="s">
        <v>506</v>
      </c>
      <c r="BV192" s="5">
        <v>40000</v>
      </c>
      <c r="BW192" s="5" t="s">
        <v>18</v>
      </c>
      <c r="BX192" s="5" t="s">
        <v>70</v>
      </c>
      <c r="BY192" s="67">
        <v>11</v>
      </c>
      <c r="BZ192" s="157" t="s">
        <v>197</v>
      </c>
      <c r="DT192" s="18"/>
    </row>
    <row r="193" spans="67:124" ht="15" customHeight="1" hidden="1">
      <c r="BO193" s="25">
        <v>191</v>
      </c>
      <c r="BP193" s="152" t="s">
        <v>519</v>
      </c>
      <c r="BQ193" s="38">
        <v>6</v>
      </c>
      <c r="BR193" s="38">
        <v>2</v>
      </c>
      <c r="BS193" s="38">
        <v>3</v>
      </c>
      <c r="BT193" s="38">
        <v>7</v>
      </c>
      <c r="BU193" s="20" t="s">
        <v>520</v>
      </c>
      <c r="BV193" s="67">
        <v>40000</v>
      </c>
      <c r="BW193" s="67" t="s">
        <v>372</v>
      </c>
      <c r="BX193" s="67" t="s">
        <v>129</v>
      </c>
      <c r="BY193" s="67">
        <v>11</v>
      </c>
      <c r="BZ193" s="157" t="s">
        <v>390</v>
      </c>
      <c r="DT193" s="18"/>
    </row>
    <row r="194" spans="67:124" ht="15" customHeight="1" hidden="1">
      <c r="BO194" s="25">
        <v>192</v>
      </c>
      <c r="BP194" s="152" t="s">
        <v>521</v>
      </c>
      <c r="BQ194" s="38">
        <v>6</v>
      </c>
      <c r="BR194" s="38">
        <v>3</v>
      </c>
      <c r="BS194" s="38">
        <v>3</v>
      </c>
      <c r="BT194" s="38">
        <v>7</v>
      </c>
      <c r="BU194" s="20" t="s">
        <v>491</v>
      </c>
      <c r="BV194" s="67">
        <v>40000</v>
      </c>
      <c r="BW194" s="67" t="s">
        <v>18</v>
      </c>
      <c r="BX194" s="67" t="s">
        <v>70</v>
      </c>
      <c r="BY194" s="67">
        <v>11</v>
      </c>
      <c r="BZ194" s="157" t="s">
        <v>30</v>
      </c>
      <c r="DT194" s="18"/>
    </row>
    <row r="195" spans="67:124" ht="15" customHeight="1" hidden="1">
      <c r="BO195" s="25">
        <v>193</v>
      </c>
      <c r="BP195" s="158" t="s">
        <v>522</v>
      </c>
      <c r="BQ195" s="60">
        <v>7</v>
      </c>
      <c r="BR195" s="60">
        <v>3</v>
      </c>
      <c r="BS195" s="60">
        <v>4</v>
      </c>
      <c r="BT195" s="60">
        <v>7</v>
      </c>
      <c r="BU195" s="61" t="s">
        <v>491</v>
      </c>
      <c r="BV195" s="62">
        <v>70000</v>
      </c>
      <c r="BW195" s="62" t="s">
        <v>69</v>
      </c>
      <c r="BX195" s="62" t="s">
        <v>72</v>
      </c>
      <c r="BY195" s="70">
        <v>11</v>
      </c>
      <c r="BZ195" s="159" t="s">
        <v>200</v>
      </c>
      <c r="DT195" s="18"/>
    </row>
    <row r="196" spans="67:124" ht="15" customHeight="1" hidden="1">
      <c r="BO196" s="25">
        <v>194</v>
      </c>
      <c r="BP196" s="14" t="s">
        <v>532</v>
      </c>
      <c r="BQ196" s="19">
        <v>7</v>
      </c>
      <c r="BR196" s="19">
        <v>3</v>
      </c>
      <c r="BS196" s="19">
        <v>4</v>
      </c>
      <c r="BT196" s="19">
        <v>9</v>
      </c>
      <c r="BU196" s="21" t="s">
        <v>551</v>
      </c>
      <c r="BV196" s="18">
        <v>250000</v>
      </c>
      <c r="BY196" s="18">
        <v>1</v>
      </c>
      <c r="BZ196" s="18" t="s">
        <v>552</v>
      </c>
      <c r="DT196" s="18"/>
    </row>
    <row r="197" spans="67:124" ht="15" customHeight="1" hidden="1">
      <c r="BO197" s="25">
        <v>195</v>
      </c>
      <c r="BP197" s="14" t="s">
        <v>536</v>
      </c>
      <c r="BQ197" s="19">
        <v>8</v>
      </c>
      <c r="BR197" s="19">
        <v>3</v>
      </c>
      <c r="BS197" s="19">
        <v>4</v>
      </c>
      <c r="BT197" s="19">
        <v>7</v>
      </c>
      <c r="BU197" s="21" t="s">
        <v>553</v>
      </c>
      <c r="BV197" s="18">
        <v>220000</v>
      </c>
      <c r="BY197" s="18">
        <v>1</v>
      </c>
      <c r="BZ197" s="18" t="s">
        <v>554</v>
      </c>
      <c r="DT197" s="18"/>
    </row>
    <row r="198" spans="67:124" ht="15" customHeight="1" hidden="1">
      <c r="BO198" s="25">
        <v>196</v>
      </c>
      <c r="BP198" s="14" t="s">
        <v>527</v>
      </c>
      <c r="BQ198" s="19">
        <v>6</v>
      </c>
      <c r="BR198" s="19">
        <v>2</v>
      </c>
      <c r="BS198" s="19">
        <v>4</v>
      </c>
      <c r="BT198" s="19">
        <v>7</v>
      </c>
      <c r="BU198" s="21" t="s">
        <v>555</v>
      </c>
      <c r="BV198" s="18">
        <v>210000</v>
      </c>
      <c r="BY198" s="18">
        <v>1</v>
      </c>
      <c r="BZ198" s="18" t="s">
        <v>556</v>
      </c>
      <c r="DT198" s="18"/>
    </row>
    <row r="199" spans="67:124" ht="15" customHeight="1" hidden="1">
      <c r="BO199" s="25">
        <v>197</v>
      </c>
      <c r="BP199" s="14" t="s">
        <v>537</v>
      </c>
      <c r="BQ199" s="19">
        <v>10</v>
      </c>
      <c r="BR199" s="19">
        <v>3</v>
      </c>
      <c r="BS199" s="19">
        <v>5</v>
      </c>
      <c r="BT199" s="19">
        <v>7</v>
      </c>
      <c r="BU199" s="21" t="s">
        <v>557</v>
      </c>
      <c r="BV199" s="18">
        <v>340000</v>
      </c>
      <c r="BY199" s="18">
        <v>1</v>
      </c>
      <c r="BZ199" s="18" t="s">
        <v>558</v>
      </c>
      <c r="DT199" s="18"/>
    </row>
    <row r="200" spans="67:124" ht="15" customHeight="1" hidden="1">
      <c r="BO200" s="25">
        <v>198</v>
      </c>
      <c r="BP200" s="14" t="s">
        <v>540</v>
      </c>
      <c r="BQ200" s="19">
        <v>8</v>
      </c>
      <c r="BR200" s="19">
        <v>3</v>
      </c>
      <c r="BS200" s="19">
        <v>5</v>
      </c>
      <c r="BT200" s="19">
        <v>7</v>
      </c>
      <c r="BU200" s="21" t="s">
        <v>559</v>
      </c>
      <c r="BV200" s="18">
        <v>340000</v>
      </c>
      <c r="BY200" s="18">
        <v>1</v>
      </c>
      <c r="BZ200" s="18" t="s">
        <v>558</v>
      </c>
      <c r="DT200" s="18"/>
    </row>
    <row r="201" spans="67:124" ht="15" customHeight="1" hidden="1">
      <c r="BO201" s="25">
        <v>199</v>
      </c>
      <c r="BP201" s="14" t="s">
        <v>524</v>
      </c>
      <c r="BQ201" s="19">
        <v>3</v>
      </c>
      <c r="BR201" s="19">
        <v>6</v>
      </c>
      <c r="BS201" s="19">
        <v>1</v>
      </c>
      <c r="BT201" s="19">
        <v>10</v>
      </c>
      <c r="BU201" s="21" t="s">
        <v>560</v>
      </c>
      <c r="BV201" s="18">
        <v>310000</v>
      </c>
      <c r="BY201" s="18">
        <v>1</v>
      </c>
      <c r="BZ201" s="18" t="s">
        <v>35</v>
      </c>
      <c r="DT201" s="18"/>
    </row>
    <row r="202" spans="67:124" ht="15" customHeight="1" hidden="1">
      <c r="BO202" s="25">
        <v>200</v>
      </c>
      <c r="BP202" s="14" t="s">
        <v>531</v>
      </c>
      <c r="BQ202" s="19">
        <v>7</v>
      </c>
      <c r="BR202" s="19">
        <v>3</v>
      </c>
      <c r="BS202" s="19">
        <v>3</v>
      </c>
      <c r="BT202" s="19">
        <v>7</v>
      </c>
      <c r="BU202" s="21" t="s">
        <v>561</v>
      </c>
      <c r="BV202" s="18">
        <v>210000</v>
      </c>
      <c r="BY202" s="18">
        <v>1</v>
      </c>
      <c r="BZ202" s="18" t="s">
        <v>86</v>
      </c>
      <c r="DT202" s="18"/>
    </row>
    <row r="203" spans="67:124" ht="15" customHeight="1" hidden="1">
      <c r="BO203" s="25">
        <v>201</v>
      </c>
      <c r="BP203" s="14" t="s">
        <v>549</v>
      </c>
      <c r="BQ203" s="19">
        <v>8</v>
      </c>
      <c r="BR203" s="19">
        <v>3</v>
      </c>
      <c r="BS203" s="19">
        <v>4</v>
      </c>
      <c r="BT203" s="19">
        <v>7</v>
      </c>
      <c r="BU203" s="21" t="s">
        <v>562</v>
      </c>
      <c r="BV203" s="18">
        <v>300000</v>
      </c>
      <c r="BY203" s="18">
        <v>1</v>
      </c>
      <c r="BZ203" s="18" t="s">
        <v>554</v>
      </c>
      <c r="DT203" s="18"/>
    </row>
    <row r="204" spans="67:124" ht="15" customHeight="1" hidden="1">
      <c r="BO204" s="25">
        <v>202</v>
      </c>
      <c r="BP204" s="14" t="s">
        <v>525</v>
      </c>
      <c r="BQ204" s="19">
        <v>7</v>
      </c>
      <c r="BR204" s="19">
        <v>3</v>
      </c>
      <c r="BS204" s="19">
        <v>3</v>
      </c>
      <c r="BT204" s="19">
        <v>7</v>
      </c>
      <c r="BU204" s="21" t="s">
        <v>563</v>
      </c>
      <c r="BV204" s="18">
        <v>220000</v>
      </c>
      <c r="BY204" s="18">
        <v>1</v>
      </c>
      <c r="BZ204" s="18" t="s">
        <v>564</v>
      </c>
      <c r="DT204" s="18"/>
    </row>
    <row r="205" spans="67:124" ht="15" customHeight="1" hidden="1">
      <c r="BO205" s="25">
        <v>203</v>
      </c>
      <c r="BP205" s="14" t="s">
        <v>535</v>
      </c>
      <c r="BQ205" s="19">
        <v>5</v>
      </c>
      <c r="BR205" s="19">
        <v>4</v>
      </c>
      <c r="BS205" s="19">
        <v>2</v>
      </c>
      <c r="BT205" s="19">
        <v>8</v>
      </c>
      <c r="BU205" s="21" t="s">
        <v>565</v>
      </c>
      <c r="BV205" s="18">
        <v>220000</v>
      </c>
      <c r="BY205" s="18">
        <v>1</v>
      </c>
      <c r="BZ205" s="18" t="s">
        <v>107</v>
      </c>
      <c r="DT205" s="18"/>
    </row>
    <row r="206" spans="67:124" ht="15" customHeight="1" hidden="1">
      <c r="BO206" s="25">
        <v>204</v>
      </c>
      <c r="BP206" s="14" t="s">
        <v>545</v>
      </c>
      <c r="BQ206" s="19">
        <v>6</v>
      </c>
      <c r="BR206" s="19">
        <v>4</v>
      </c>
      <c r="BS206" s="19">
        <v>4</v>
      </c>
      <c r="BT206" s="19">
        <v>9</v>
      </c>
      <c r="BU206" s="21" t="s">
        <v>566</v>
      </c>
      <c r="BV206" s="18">
        <v>310000</v>
      </c>
      <c r="BY206" s="18">
        <v>1</v>
      </c>
      <c r="BZ206" s="18" t="s">
        <v>184</v>
      </c>
      <c r="DT206" s="18"/>
    </row>
    <row r="207" spans="67:124" ht="15" customHeight="1" hidden="1">
      <c r="BO207" s="25">
        <v>205</v>
      </c>
      <c r="BP207" s="14" t="s">
        <v>529</v>
      </c>
      <c r="BQ207" s="19">
        <v>9</v>
      </c>
      <c r="BR207" s="19">
        <v>2</v>
      </c>
      <c r="BS207" s="19">
        <v>3</v>
      </c>
      <c r="BT207" s="19">
        <v>7</v>
      </c>
      <c r="BU207" s="21" t="s">
        <v>567</v>
      </c>
      <c r="BV207" s="18">
        <v>230000</v>
      </c>
      <c r="BY207" s="18">
        <v>1</v>
      </c>
      <c r="BZ207" s="18" t="s">
        <v>568</v>
      </c>
      <c r="DT207" s="18"/>
    </row>
    <row r="208" spans="67:124" ht="15" customHeight="1" hidden="1">
      <c r="BO208" s="25">
        <v>206</v>
      </c>
      <c r="BP208" s="14" t="s">
        <v>533</v>
      </c>
      <c r="BQ208" s="19">
        <v>6</v>
      </c>
      <c r="BR208" s="19">
        <v>3</v>
      </c>
      <c r="BS208" s="19">
        <v>3</v>
      </c>
      <c r="BT208" s="19">
        <v>8</v>
      </c>
      <c r="BU208" s="21" t="s">
        <v>569</v>
      </c>
      <c r="BV208" s="18">
        <v>240000</v>
      </c>
      <c r="BY208" s="18">
        <v>1</v>
      </c>
      <c r="BZ208" s="18" t="s">
        <v>568</v>
      </c>
      <c r="DT208" s="18"/>
    </row>
    <row r="209" spans="67:124" ht="15" customHeight="1" hidden="1">
      <c r="BO209" s="25">
        <v>207</v>
      </c>
      <c r="BP209" s="14" t="s">
        <v>538</v>
      </c>
      <c r="BQ209" s="19">
        <v>7</v>
      </c>
      <c r="BR209" s="19">
        <v>3</v>
      </c>
      <c r="BS209" s="19">
        <v>3</v>
      </c>
      <c r="BT209" s="19">
        <v>8</v>
      </c>
      <c r="BU209" s="21" t="s">
        <v>570</v>
      </c>
      <c r="BV209" s="18">
        <v>220000</v>
      </c>
      <c r="BY209" s="18">
        <v>1</v>
      </c>
      <c r="BZ209" s="18" t="s">
        <v>37</v>
      </c>
      <c r="DT209" s="18"/>
    </row>
    <row r="210" spans="67:124" ht="15" customHeight="1" hidden="1">
      <c r="BO210" s="25">
        <v>208</v>
      </c>
      <c r="BP210" s="14" t="s">
        <v>539</v>
      </c>
      <c r="BQ210" s="19">
        <v>6</v>
      </c>
      <c r="BR210" s="19">
        <v>3</v>
      </c>
      <c r="BS210" s="19">
        <v>3</v>
      </c>
      <c r="BT210" s="19">
        <v>8</v>
      </c>
      <c r="BU210" s="21" t="s">
        <v>571</v>
      </c>
      <c r="BV210" s="18">
        <v>190000</v>
      </c>
      <c r="BY210" s="18">
        <v>1</v>
      </c>
      <c r="BZ210" s="18" t="s">
        <v>572</v>
      </c>
      <c r="DT210" s="18"/>
    </row>
    <row r="211" spans="67:124" ht="15" customHeight="1" hidden="1">
      <c r="BO211" s="25">
        <v>209</v>
      </c>
      <c r="BP211" s="14" t="s">
        <v>542</v>
      </c>
      <c r="BQ211" s="19">
        <v>6</v>
      </c>
      <c r="BR211" s="19">
        <v>3</v>
      </c>
      <c r="BS211" s="19">
        <v>3</v>
      </c>
      <c r="BT211" s="19">
        <v>8</v>
      </c>
      <c r="BU211" s="21" t="s">
        <v>573</v>
      </c>
      <c r="BV211" s="18">
        <v>250000</v>
      </c>
      <c r="BY211" s="18">
        <v>1</v>
      </c>
      <c r="BZ211" s="18" t="s">
        <v>107</v>
      </c>
      <c r="DT211" s="18"/>
    </row>
    <row r="212" spans="67:124" ht="15" customHeight="1" hidden="1">
      <c r="BO212" s="25">
        <v>210</v>
      </c>
      <c r="BP212" s="14" t="s">
        <v>543</v>
      </c>
      <c r="BQ212" s="19">
        <v>4</v>
      </c>
      <c r="BR212" s="19">
        <v>4</v>
      </c>
      <c r="BS212" s="19">
        <v>2</v>
      </c>
      <c r="BT212" s="19">
        <v>9</v>
      </c>
      <c r="BU212" s="21" t="s">
        <v>574</v>
      </c>
      <c r="BV212" s="18">
        <v>190000</v>
      </c>
      <c r="BY212" s="18">
        <v>1</v>
      </c>
      <c r="BZ212" s="18" t="s">
        <v>575</v>
      </c>
      <c r="DT212" s="18"/>
    </row>
    <row r="213" spans="67:124" ht="15" customHeight="1" hidden="1">
      <c r="BO213" s="25">
        <v>211</v>
      </c>
      <c r="BP213" s="14" t="s">
        <v>526</v>
      </c>
      <c r="BQ213" s="19">
        <v>8</v>
      </c>
      <c r="BR213" s="19">
        <v>2</v>
      </c>
      <c r="BS213" s="19">
        <v>4</v>
      </c>
      <c r="BT213" s="19">
        <v>7</v>
      </c>
      <c r="BU213" s="21" t="s">
        <v>576</v>
      </c>
      <c r="BV213" s="18">
        <v>250000</v>
      </c>
      <c r="BY213" s="18">
        <v>1</v>
      </c>
      <c r="BZ213" s="18" t="s">
        <v>577</v>
      </c>
      <c r="DT213" s="18"/>
    </row>
    <row r="214" spans="67:124" ht="15" customHeight="1" hidden="1">
      <c r="BO214" s="25">
        <v>212</v>
      </c>
      <c r="BP214" s="14" t="s">
        <v>541</v>
      </c>
      <c r="BQ214" s="19">
        <v>8</v>
      </c>
      <c r="BR214" s="19">
        <v>3</v>
      </c>
      <c r="BS214" s="19">
        <v>3</v>
      </c>
      <c r="BT214" s="19">
        <v>8</v>
      </c>
      <c r="BU214" s="21" t="s">
        <v>578</v>
      </c>
      <c r="BV214" s="18">
        <v>260000</v>
      </c>
      <c r="BY214" s="18">
        <v>1</v>
      </c>
      <c r="BZ214" s="18" t="s">
        <v>579</v>
      </c>
      <c r="DT214" s="18"/>
    </row>
    <row r="215" spans="67:124" ht="15" customHeight="1" hidden="1">
      <c r="BO215" s="25">
        <v>213</v>
      </c>
      <c r="BP215" s="14" t="s">
        <v>528</v>
      </c>
      <c r="BQ215" s="19">
        <v>6</v>
      </c>
      <c r="BR215" s="19">
        <v>3</v>
      </c>
      <c r="BS215" s="19">
        <v>4</v>
      </c>
      <c r="BT215" s="19">
        <v>8</v>
      </c>
      <c r="BU215" s="21" t="s">
        <v>580</v>
      </c>
      <c r="BV215" s="18">
        <v>170000</v>
      </c>
      <c r="BY215" s="18">
        <v>1</v>
      </c>
      <c r="BZ215" s="18" t="s">
        <v>581</v>
      </c>
      <c r="DT215" s="18"/>
    </row>
    <row r="216" spans="67:124" ht="15" customHeight="1" hidden="1">
      <c r="BO216" s="25">
        <v>214</v>
      </c>
      <c r="BP216" s="14" t="s">
        <v>550</v>
      </c>
      <c r="BQ216" s="19">
        <v>6</v>
      </c>
      <c r="BR216" s="19">
        <v>3</v>
      </c>
      <c r="BS216" s="19">
        <v>4</v>
      </c>
      <c r="BT216" s="19">
        <v>9</v>
      </c>
      <c r="BU216" s="21" t="s">
        <v>582</v>
      </c>
      <c r="BV216" s="18">
        <v>270000</v>
      </c>
      <c r="BY216" s="18">
        <v>1</v>
      </c>
      <c r="BZ216" s="18" t="s">
        <v>184</v>
      </c>
      <c r="DT216" s="18"/>
    </row>
    <row r="217" spans="67:124" ht="15" customHeight="1" hidden="1">
      <c r="BO217" s="25">
        <v>215</v>
      </c>
      <c r="BP217" s="14" t="s">
        <v>534</v>
      </c>
      <c r="BQ217" s="19">
        <v>6</v>
      </c>
      <c r="BR217" s="19">
        <v>4</v>
      </c>
      <c r="BS217" s="19">
        <v>4</v>
      </c>
      <c r="BT217" s="19">
        <v>8</v>
      </c>
      <c r="BU217" s="21" t="s">
        <v>508</v>
      </c>
      <c r="BV217" s="18">
        <v>190000</v>
      </c>
      <c r="BY217" s="18">
        <v>1</v>
      </c>
      <c r="BZ217" s="18" t="s">
        <v>583</v>
      </c>
      <c r="DT217" s="18"/>
    </row>
    <row r="218" spans="67:78" ht="15" customHeight="1" hidden="1">
      <c r="BO218" s="25">
        <v>216</v>
      </c>
      <c r="BP218" s="14" t="s">
        <v>546</v>
      </c>
      <c r="BQ218" s="19">
        <v>9</v>
      </c>
      <c r="BR218" s="19">
        <v>2</v>
      </c>
      <c r="BS218" s="19">
        <v>4</v>
      </c>
      <c r="BT218" s="19">
        <v>7</v>
      </c>
      <c r="BU218" s="21" t="s">
        <v>584</v>
      </c>
      <c r="BV218" s="18">
        <v>290000</v>
      </c>
      <c r="BY218" s="18">
        <v>1</v>
      </c>
      <c r="BZ218" s="18" t="s">
        <v>37</v>
      </c>
    </row>
    <row r="219" spans="67:78" ht="15" customHeight="1" hidden="1">
      <c r="BO219" s="25">
        <v>217</v>
      </c>
      <c r="BP219" s="14" t="s">
        <v>548</v>
      </c>
      <c r="BQ219" s="19">
        <v>7</v>
      </c>
      <c r="BR219" s="19">
        <v>4</v>
      </c>
      <c r="BS219" s="19">
        <v>3</v>
      </c>
      <c r="BT219" s="19">
        <v>7</v>
      </c>
      <c r="BU219" s="21" t="s">
        <v>580</v>
      </c>
      <c r="BV219" s="18">
        <v>180000</v>
      </c>
      <c r="BY219" s="18">
        <v>1</v>
      </c>
      <c r="BZ219" s="18" t="s">
        <v>37</v>
      </c>
    </row>
    <row r="220" spans="67:78" ht="15" customHeight="1" hidden="1">
      <c r="BO220" s="25">
        <v>218</v>
      </c>
      <c r="BP220" s="14" t="s">
        <v>544</v>
      </c>
      <c r="BQ220" s="19">
        <v>8</v>
      </c>
      <c r="BR220" s="19">
        <v>3</v>
      </c>
      <c r="BS220" s="19">
        <v>5</v>
      </c>
      <c r="BT220" s="19">
        <v>7</v>
      </c>
      <c r="BU220" s="21" t="s">
        <v>585</v>
      </c>
      <c r="BV220" s="18">
        <v>340000</v>
      </c>
      <c r="BY220" s="18">
        <v>1</v>
      </c>
      <c r="BZ220" s="18" t="s">
        <v>558</v>
      </c>
    </row>
    <row r="221" spans="67:78" ht="15" customHeight="1" hidden="1">
      <c r="BO221" s="25">
        <v>219</v>
      </c>
      <c r="BP221" s="14" t="s">
        <v>547</v>
      </c>
      <c r="BQ221" s="19">
        <v>5</v>
      </c>
      <c r="BR221" s="19">
        <v>3</v>
      </c>
      <c r="BS221" s="19">
        <v>4</v>
      </c>
      <c r="BT221" s="19">
        <v>9</v>
      </c>
      <c r="BU221" s="21" t="s">
        <v>586</v>
      </c>
      <c r="BV221" s="18">
        <v>210000</v>
      </c>
      <c r="BY221" s="18">
        <v>1</v>
      </c>
      <c r="BZ221" s="18" t="s">
        <v>107</v>
      </c>
    </row>
    <row r="222" spans="67:78" ht="15" customHeight="1" hidden="1">
      <c r="BO222" s="25">
        <v>220</v>
      </c>
      <c r="BP222" s="14" t="s">
        <v>530</v>
      </c>
      <c r="BQ222" s="19">
        <v>7</v>
      </c>
      <c r="BR222" s="19">
        <v>3</v>
      </c>
      <c r="BS222" s="19">
        <v>4</v>
      </c>
      <c r="BT222" s="19">
        <v>8</v>
      </c>
      <c r="BU222" s="21" t="s">
        <v>587</v>
      </c>
      <c r="BV222" s="18">
        <v>210000</v>
      </c>
      <c r="BY222" s="18">
        <v>1</v>
      </c>
      <c r="BZ222" s="18" t="s">
        <v>446</v>
      </c>
    </row>
    <row r="223" ht="9" customHeight="1" hidden="1"/>
  </sheetData>
  <sheetProtection password="C617" sheet="1"/>
  <mergeCells count="95">
    <mergeCell ref="DT83:DT87"/>
    <mergeCell ref="DT88:DT91"/>
    <mergeCell ref="DT92:DT96"/>
    <mergeCell ref="DT97:DT101"/>
    <mergeCell ref="DT102:DT103"/>
    <mergeCell ref="DT104:DT108"/>
    <mergeCell ref="DT57:DT59"/>
    <mergeCell ref="DT60:DT64"/>
    <mergeCell ref="DT65:DT70"/>
    <mergeCell ref="DT71:DT74"/>
    <mergeCell ref="DT75:DT76"/>
    <mergeCell ref="DT77:DT82"/>
    <mergeCell ref="DT32:DT35"/>
    <mergeCell ref="DT36:DT41"/>
    <mergeCell ref="DT42:DT43"/>
    <mergeCell ref="DT44:DT47"/>
    <mergeCell ref="DT48:DT52"/>
    <mergeCell ref="DT53:DT56"/>
    <mergeCell ref="DT4:DT7"/>
    <mergeCell ref="DT8:DT10"/>
    <mergeCell ref="DT11:DT14"/>
    <mergeCell ref="DT22:DT26"/>
    <mergeCell ref="DT27:DT31"/>
    <mergeCell ref="DT15:DT21"/>
    <mergeCell ref="BZ75:BZ78"/>
    <mergeCell ref="BZ52:BZ56"/>
    <mergeCell ref="AC21:AD21"/>
    <mergeCell ref="AC26:AD26"/>
    <mergeCell ref="AC22:AD22"/>
    <mergeCell ref="AC23:AD23"/>
    <mergeCell ref="BZ61:BZ63"/>
    <mergeCell ref="BZ64:BZ68"/>
    <mergeCell ref="BZ57:BZ60"/>
    <mergeCell ref="AC27:AD27"/>
    <mergeCell ref="BZ108:BZ112"/>
    <mergeCell ref="BZ48:BZ51"/>
    <mergeCell ref="BZ22:BZ26"/>
    <mergeCell ref="BZ79:BZ80"/>
    <mergeCell ref="BZ87:BZ91"/>
    <mergeCell ref="AC28:AD28"/>
    <mergeCell ref="BZ106:BZ107"/>
    <mergeCell ref="BZ46:BZ47"/>
    <mergeCell ref="BZ69:BZ74"/>
    <mergeCell ref="BZ101:BZ105"/>
    <mergeCell ref="BZ4:BZ7"/>
    <mergeCell ref="BZ8:BZ10"/>
    <mergeCell ref="BZ40:BZ45"/>
    <mergeCell ref="BZ31:BZ35"/>
    <mergeCell ref="BZ11:BZ14"/>
    <mergeCell ref="BZ36:BZ39"/>
    <mergeCell ref="BZ27:BZ30"/>
    <mergeCell ref="E26:I26"/>
    <mergeCell ref="C25:D25"/>
    <mergeCell ref="C26:D26"/>
    <mergeCell ref="C27:D27"/>
    <mergeCell ref="C28:D28"/>
    <mergeCell ref="E27:I27"/>
    <mergeCell ref="E28:I28"/>
    <mergeCell ref="E22:I22"/>
    <mergeCell ref="E23:I23"/>
    <mergeCell ref="E24:I24"/>
    <mergeCell ref="X22:AA22"/>
    <mergeCell ref="BZ81:BZ86"/>
    <mergeCell ref="X23:AA23"/>
    <mergeCell ref="X24:AA24"/>
    <mergeCell ref="X25:AA25"/>
    <mergeCell ref="AC25:AD25"/>
    <mergeCell ref="AC24:AD24"/>
    <mergeCell ref="BZ96:BZ100"/>
    <mergeCell ref="BZ92:BZ95"/>
    <mergeCell ref="C21:D21"/>
    <mergeCell ref="C22:D22"/>
    <mergeCell ref="C23:D23"/>
    <mergeCell ref="C24:D24"/>
    <mergeCell ref="X26:AA26"/>
    <mergeCell ref="E25:I25"/>
    <mergeCell ref="E21:I21"/>
    <mergeCell ref="BZ15:BZ21"/>
    <mergeCell ref="AC38:AD38"/>
    <mergeCell ref="X33:AA33"/>
    <mergeCell ref="AC33:AD33"/>
    <mergeCell ref="X34:AA34"/>
    <mergeCell ref="AC34:AD34"/>
    <mergeCell ref="X35:AA35"/>
    <mergeCell ref="AC35:AD35"/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</mergeCells>
  <conditionalFormatting sqref="F5:I20">
    <cfRule type="cellIs" priority="19" dxfId="8" operator="greaterThanOrEqual" stopIfTrue="1">
      <formula>BI5+1</formula>
    </cfRule>
    <cfRule type="cellIs" priority="20" dxfId="7" operator="lessThanOrEqual" stopIfTrue="1">
      <formula>BI5-1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AO5:AR2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Andrea Parrella</cp:lastModifiedBy>
  <cp:lastPrinted>2012-10-07T02:37:44Z</cp:lastPrinted>
  <dcterms:created xsi:type="dcterms:W3CDTF">2001-02-12T07:17:33Z</dcterms:created>
  <dcterms:modified xsi:type="dcterms:W3CDTF">2013-02-23T00:14:30Z</dcterms:modified>
  <cp:category/>
  <cp:version/>
  <cp:contentType/>
  <cp:contentStatus/>
</cp:coreProperties>
</file>