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<sst xmlns="http://schemas.openxmlformats.org/spreadsheetml/2006/main" count="1911" uniqueCount="846">
  <si>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</si>
  <si>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</si>
  <si>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</si>
  <si>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</si>
  <si>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</si>
  <si>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</si>
  <si>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</si>
  <si>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</si>
  <si>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</si>
  <si>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</si>
  <si>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</si>
  <si>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</si>
  <si>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</si>
  <si>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</si>
  <si>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</si>
  <si>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</si>
  <si>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</si>
  <si>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</si>
  <si>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</si>
  <si>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</si>
  <si>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</si>
  <si>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</si>
  <si>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</si>
  <si>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</si>
  <si>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</si>
  <si>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</si>
  <si>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</si>
  <si>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</si>
  <si>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</si>
  <si>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</si>
  <si>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</si>
  <si>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</si>
  <si>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</si>
  <si>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</si>
  <si>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</si>
  <si>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</si>
  <si>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</si>
  <si>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</si>
  <si>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</si>
  <si>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</si>
  <si>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</si>
  <si>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</si>
  <si>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</si>
  <si>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</si>
  <si>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</si>
  <si>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</si>
  <si>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</si>
  <si>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</si>
  <si>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</si>
  <si>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</si>
  <si>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</si>
  <si>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</si>
  <si>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</si>
  <si>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</si>
  <si>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</si>
  <si>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</si>
  <si>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</si>
  <si>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</si>
  <si>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</si>
  <si>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</si>
  <si>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</si>
  <si>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</si>
  <si>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</si>
  <si>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</si>
  <si>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</si>
  <si>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</si>
  <si>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</si>
  <si>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</si>
  <si>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</si>
  <si>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</si>
  <si>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</si>
  <si>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</si>
  <si>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</si>
  <si>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</si>
  <si>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</si>
  <si>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</si>
  <si>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</si>
  <si>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</si>
  <si>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</si>
  <si>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</si>
  <si>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</si>
  <si>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</si>
  <si>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</si>
  <si>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</si>
  <si>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</si>
  <si>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</si>
  <si>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</si>
  <si>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</si>
  <si>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</si>
  <si>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</si>
  <si>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</si>
  <si>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</si>
  <si>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</si>
  <si>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</si>
  <si>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</si>
  <si>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</si>
  <si>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</si>
  <si>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</si>
  <si>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</si>
  <si>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</si>
  <si>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</si>
  <si>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</si>
  <si>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</si>
  <si>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</si>
  <si>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</si>
  <si>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</si>
  <si>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</si>
  <si>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</si>
  <si>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</si>
  <si>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</si>
  <si>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</si>
  <si>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</si>
  <si>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</si>
  <si>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</si>
  <si>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</si>
  <si>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</si>
  <si>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</si>
  <si>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</si>
  <si>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</si>
  <si>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</si>
  <si>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</si>
  <si>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</si>
  <si>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</si>
  <si>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</si>
  <si>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</si>
  <si>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</si>
  <si>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</si>
  <si>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</si>
  <si>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</si>
  <si>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</si>
  <si>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</si>
  <si>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</si>
  <si>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</si>
  <si>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</si>
  <si>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</si>
  <si>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</si>
  <si>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</si>
  <si>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</si>
  <si>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</si>
  <si>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</si>
  <si>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</si>
  <si>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</si>
  <si>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</si>
  <si>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</si>
  <si>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</si>
  <si>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</si>
  <si>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</si>
  <si>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</si>
  <si>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</si>
  <si>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</si>
  <si>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</si>
  <si>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</si>
  <si>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</si>
  <si>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</si>
  <si>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</si>
  <si>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</si>
  <si>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</si>
  <si>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</si>
  <si>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</si>
  <si>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</si>
  <si>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</si>
  <si>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</si>
  <si>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</si>
  <si>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</si>
  <si>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</si>
  <si>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</si>
  <si>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</si>
  <si>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</si>
  <si>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</si>
  <si>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</si>
  <si>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</si>
  <si>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</si>
  <si>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</si>
  <si>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</si>
  <si>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</si>
  <si>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</si>
  <si>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</si>
  <si>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</si>
  <si>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</si>
  <si>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</si>
  <si>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</si>
  <si>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</si>
  <si>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</si>
  <si>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</si>
  <si>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</si>
  <si>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</si>
  <si>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</si>
  <si>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</si>
  <si>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</si>
  <si>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</si>
  <si>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</si>
  <si>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</si>
  <si>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</si>
  <si>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</si>
  <si>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</si>
  <si>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</si>
  <si>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</si>
  <si>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</si>
  <si>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</si>
  <si>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</si>
  <si>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</si>
  <si>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</si>
  <si>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</si>
  <si>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</si>
  <si>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</si>
  <si>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</si>
  <si>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</si>
  <si>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</si>
  <si>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</si>
  <si>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</si>
  <si>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</si>
  <si>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</si>
  <si>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</si>
  <si>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</si>
  <si>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</si>
  <si>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</si>
  <si>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</si>
  <si>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</si>
  <si>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</si>
  <si>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</si>
  <si>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</si>
  <si>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</si>
  <si>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</si>
  <si>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</si>
  <si>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</si>
  <si>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</si>
  <si>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</si>
  <si>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</si>
  <si>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</si>
  <si>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</si>
  <si>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</si>
  <si>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</si>
  <si>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</si>
  <si>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</si>
  <si>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</si>
  <si>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</si>
  <si>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</si>
  <si>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</si>
  <si>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</si>
  <si>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</si>
  <si>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</si>
  <si>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</si>
  <si>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</si>
  <si>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</si>
  <si>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</si>
  <si>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</si>
  <si>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</si>
  <si>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</si>
  <si>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</si>
  <si>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</si>
  <si>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</si>
  <si>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</si>
  <si>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</si>
  <si>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</si>
  <si>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</si>
  <si>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</si>
  <si>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</si>
  <si>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</si>
  <si>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</si>
  <si>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</si>
  <si>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</si>
  <si>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</si>
  <si>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</si>
  <si>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</si>
  <si>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</si>
  <si>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</si>
  <si>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</si>
  <si>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</si>
  <si>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</si>
  <si>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</si>
  <si>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</si>
  <si>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</si>
  <si>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</si>
  <si>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</si>
  <si>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</si>
  <si>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</si>
  <si>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</si>
  <si>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</si>
  <si>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</si>
  <si>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</si>
  <si>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</si>
  <si>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</si>
  <si>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</si>
  <si>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</si>
  <si>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</si>
  <si>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</si>
  <si>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</si>
  <si>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</si>
  <si>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</si>
  <si>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</si>
  <si>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</si>
  <si>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</si>
  <si>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</si>
  <si>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</si>
  <si>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</si>
  <si>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</si>
  <si>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</si>
  <si>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</si>
  <si>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</si>
  <si>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</si>
  <si>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</si>
  <si>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</si>
  <si>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</si>
  <si>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</si>
  <si>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</si>
  <si>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</si>
  <si>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</si>
  <si>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</si>
  <si>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</si>
  <si>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</si>
  <si>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</si>
  <si>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</si>
  <si>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</si>
  <si>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</si>
  <si>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</si>
  <si>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</si>
  <si>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</si>
  <si>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</si>
  <si>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</si>
  <si>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</si>
  <si>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</si>
  <si>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</si>
  <si>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</si>
  <si>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</si>
  <si>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</si>
  <si>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</si>
  <si>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</si>
  <si>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</si>
  <si>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</si>
  <si>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</si>
  <si>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</si>
  <si>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</si>
  <si>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</si>
  <si>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</si>
  <si>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</si>
  <si>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</si>
  <si>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</si>
  <si>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</si>
  <si>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</si>
  <si>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</si>
  <si>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</si>
  <si>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</si>
  <si>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</si>
  <si>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</si>
  <si>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</si>
  <si>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</si>
  <si>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</si>
  <si>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</si>
  <si>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</si>
  <si>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</si>
  <si>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</si>
  <si>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</si>
  <si>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</si>
  <si>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</si>
  <si>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</si>
  <si>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</si>
  <si>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</si>
  <si>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</si>
  <si>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</si>
  <si>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</si>
  <si>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</si>
  <si>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</si>
  <si>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</si>
  <si>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</si>
  <si>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</si>
  <si>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</si>
  <si>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</si>
  <si>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</si>
  <si>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</si>
  <si>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</si>
  <si>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</si>
  <si>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</si>
  <si>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</si>
  <si>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</si>
  <si>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</si>
  <si>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</si>
  <si>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</si>
  <si>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</si>
  <si>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</si>
  <si>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</si>
  <si>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</si>
  <si>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</si>
  <si>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</si>
  <si>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</si>
  <si>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</si>
  <si>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</si>
  <si>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</si>
  <si>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</si>
  <si>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</si>
  <si>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</si>
  <si>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</si>
  <si>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</si>
  <si>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</si>
  <si>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</si>
  <si>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</si>
  <si>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</si>
  <si>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</si>
  <si>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</si>
  <si>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</si>
  <si>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</si>
  <si>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</si>
  <si>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</si>
  <si>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</si>
  <si>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</si>
  <si>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</si>
  <si>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</si>
  <si>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</si>
  <si>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</si>
  <si>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</si>
  <si>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</si>
  <si>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</si>
  <si>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</si>
  <si>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</si>
  <si>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</si>
  <si>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</si>
  <si>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</si>
  <si>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</si>
  <si>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</si>
  <si>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</si>
  <si>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</si>
  <si>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</si>
  <si>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</si>
  <si>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</si>
  <si>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</si>
  <si>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</si>
  <si>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</si>
  <si>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</si>
  <si>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</si>
  <si>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</si>
  <si>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</si>
  <si>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</si>
  <si>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</si>
  <si>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</si>
  <si>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</si>
  <si>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</si>
  <si>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</si>
  <si>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</si>
  <si>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</si>
  <si>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</si>
  <si>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</si>
  <si>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</si>
  <si>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</si>
  <si>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</si>
  <si>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</si>
  <si>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</si>
  <si>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</si>
  <si>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</si>
  <si>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</si>
  <si>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</si>
  <si>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</si>
  <si>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</si>
  <si>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</si>
  <si>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</si>
  <si>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</si>
  <si>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</si>
  <si>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</si>
  <si>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</si>
  <si>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</si>
  <si>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</si>
  <si>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</si>
  <si>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</si>
  <si>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</si>
  <si>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</si>
  <si>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</si>
  <si>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</si>
  <si>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</si>
  <si>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</si>
  <si>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</si>
  <si>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</si>
  <si>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</si>
  <si>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</si>
  <si>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</si>
  <si>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</si>
  <si>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</si>
  <si>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</si>
  <si>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</si>
  <si>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</si>
  <si>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</si>
  <si>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</si>
  <si>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</si>
  <si>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</si>
  <si>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</si>
  <si>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</si>
  <si>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</si>
  <si>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</si>
  <si>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</si>
  <si>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</si>
  <si>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</si>
  <si>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</si>
  <si>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</si>
  <si>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</si>
  <si>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</si>
  <si>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</si>
  <si>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</si>
  <si>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</si>
  <si>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</si>
  <si>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</si>
  <si>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</si>
  <si>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</si>
  <si>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</si>
  <si>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</si>
  <si>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</si>
  <si>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</si>
  <si>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</si>
  <si>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</si>
  <si>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</si>
  <si>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</si>
  <si>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</si>
  <si>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</si>
  <si>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</si>
  <si>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</si>
  <si>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</si>
  <si>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</si>
  <si>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</si>
  <si>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</si>
  <si>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</si>
  <si>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</si>
  <si>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</si>
  <si>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</si>
  <si>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</si>
  <si>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</si>
  <si>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</si>
  <si>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</si>
  <si>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</si>
  <si>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</si>
  <si>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</si>
  <si>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</si>
  <si>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</si>
  <si>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</si>
  <si>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</si>
  <si>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</si>
  <si>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</si>
  <si>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</si>
  <si>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</si>
  <si>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</si>
  <si>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</si>
  <si>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</si>
  <si>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</si>
  <si>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</si>
  <si>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</si>
  <si>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</si>
  <si>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</si>
  <si>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</si>
  <si>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</si>
  <si>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</si>
  <si>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</si>
  <si>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</si>
  <si>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</si>
  <si>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</si>
  <si>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</si>
  <si>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</si>
  <si>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</si>
  <si>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</si>
  <si>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</si>
  <si>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</si>
  <si>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</si>
  <si>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</si>
  <si>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</si>
  <si>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</si>
  <si>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</si>
  <si>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</si>
  <si>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</si>
  <si>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</si>
  <si>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</si>
  <si>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</si>
  <si>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</si>
  <si>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</si>
  <si>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</si>
  <si>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</si>
  <si>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</si>
  <si>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</si>
  <si>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</si>
  <si>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</si>
  <si>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</si>
  <si>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</si>
  <si>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</si>
  <si>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</si>
  <si>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</si>
  <si>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</si>
  <si>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</si>
  <si>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</si>
  <si>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</si>
  <si>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</si>
  <si>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</si>
  <si>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</si>
  <si>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</si>
  <si>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</si>
  <si>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</si>
  <si>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</si>
  <si>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</si>
  <si>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</si>
  <si>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</si>
  <si>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</si>
  <si>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</si>
  <si>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</si>
  <si>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</si>
  <si>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</si>
  <si>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</si>
  <si>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</si>
  <si>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</si>
  <si>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</si>
  <si>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</si>
  <si>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</si>
  <si>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</si>
  <si>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</si>
  <si>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</si>
  <si>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</si>
  <si>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</si>
  <si>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</si>
  <si>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</si>
  <si>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</si>
  <si>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</si>
  <si>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</si>
  <si>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</si>
  <si>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</si>
  <si>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</si>
  <si>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</si>
  <si>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</si>
  <si>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</si>
  <si>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</si>
  <si>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</si>
  <si>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</si>
  <si>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</si>
  <si>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</si>
  <si>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</si>
  <si>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</si>
  <si>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</si>
  <si>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</si>
  <si>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</si>
  <si>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</si>
  <si>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</si>
  <si>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</si>
  <si>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</si>
  <si>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</si>
  <si>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</si>
  <si>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</si>
  <si>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</si>
  <si>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</si>
  <si>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</si>
  <si>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</si>
  <si>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</si>
  <si>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</si>
  <si>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</si>
  <si>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</si>
  <si>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</si>
  <si>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</si>
  <si>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</si>
  <si>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</si>
  <si>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</si>
  <si>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</si>
  <si>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</si>
  <si>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</si>
  <si>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</si>
  <si>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</si>
  <si>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</si>
  <si>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</si>
  <si>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</si>
  <si>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</si>
  <si>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</si>
  <si>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</si>
  <si>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</si>
  <si>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</si>
  <si>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</si>
  <si>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</si>
  <si>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</si>
  <si>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</si>
  <si>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</si>
  <si>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</si>
  <si>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</si>
  <si>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</si>
  <si>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</si>
  <si>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</si>
  <si>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</si>
  <si>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</si>
  <si>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</si>
  <si>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</si>
  <si>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</si>
  <si>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</si>
  <si>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</si>
  <si>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</si>
  <si>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</si>
  <si>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</si>
  <si>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</si>
  <si>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</si>
  <si>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</si>
  <si>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</si>
  <si>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</si>
  <si>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</si>
  <si>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</si>
  <si>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</si>
  <si>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</si>
  <si>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</si>
  <si>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</si>
  <si>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</si>
  <si>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</si>
  <si>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</si>
  <si>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</si>
  <si>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</si>
  <si>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</si>
  <si>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</si>
  <si>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</si>
  <si>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</si>
  <si>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</si>
  <si>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</si>
  <si>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</si>
  <si>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</si>
  <si>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</si>
  <si>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</si>
  <si>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</si>
  <si>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</si>
  <si>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</si>
  <si>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</si>
  <si>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</si>
  <si>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</si>
  <si>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</si>
  <si>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</si>
  <si>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</si>
  <si>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</si>
  <si>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</si>
  <si>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</si>
  <si>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</si>
  <si>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</si>
  <si>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</si>
  <si>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</si>
  <si>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</si>
  <si>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</si>
  <si>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</si>
  <si>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</si>
  <si>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</si>
  <si>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</si>
  <si>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</si>
  <si>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</si>
  <si>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</si>
  <si>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</si>
  <si>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</si>
  <si>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</si>
  <si>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</si>
  <si>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</si>
  <si>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</si>
  <si>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</si>
  <si>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</si>
  <si>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</si>
  <si>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</si>
  <si>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</si>
  <si>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</si>
  <si>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</si>
  <si>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</si>
  <si>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</si>
  <si>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</si>
  <si>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</si>
  <si>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</si>
  <si>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</si>
  <si>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</si>
  <si>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</si>
  <si>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</si>
  <si>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</si>
  <si>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</si>
  <si>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</si>
  <si>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</si>
  <si>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</si>
  <si>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</si>
  <si>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</si>
  <si>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</si>
  <si>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</si>
  <si>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</si>
  <si>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</si>
  <si>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</si>
  <si>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</si>
  <si>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</si>
  <si>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</si>
  <si>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</si>
  <si>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</si>
  <si>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</si>
  <si>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</si>
  <si>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</si>
  <si>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</si>
  <si>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</si>
  <si>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</si>
  <si>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</si>
  <si>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</si>
  <si>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</si>
  <si>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</si>
  <si>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</si>
  <si>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</si>
  <si>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</si>
  <si>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</si>
  <si>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</si>
  <si>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</si>
  <si>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</si>
  <si>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</si>
  <si>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</si>
  <si>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</si>
  <si>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</si>
  <si>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</si>
  <si>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</si>
  <si>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</si>
  <si>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</si>
  <si>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</si>
  <si>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</si>
  <si>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</si>
  <si>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</si>
  <si>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</si>
  <si>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</si>
  <si>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</si>
  <si>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</si>
  <si>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</si>
  <si>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</si>
  <si>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</si>
  <si>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</si>
  <si>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</si>
  <si>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</si>
  <si>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</si>
  <si>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</si>
  <si>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</si>
  <si>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</si>
  <si>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</si>
  <si>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</si>
  <si>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</si>
  <si>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</si>
  <si>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</si>
  <si>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</si>
  <si>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</si>
  <si>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</si>
  <si>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</si>
  <si>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</si>
  <si>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</si>
  <si>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</si>
  <si>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</si>
  <si>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</si>
  <si>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</si>
  <si>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</si>
  <si>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</si>
  <si>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Radovan Karadzic</t>
  </si>
  <si>
    <t>Ratko Mladic</t>
  </si>
  <si>
    <t>Al Bashir</t>
  </si>
  <si>
    <t>Augustin Bizarana</t>
  </si>
  <si>
    <t>Dominic Ongwen</t>
  </si>
  <si>
    <t>Joseph Koni</t>
  </si>
  <si>
    <t>Felicier Kabuga</t>
  </si>
  <si>
    <t>Radovan Stankovich</t>
  </si>
  <si>
    <t>Goran Hadzic</t>
  </si>
  <si>
    <t>Laslo Csatary</t>
  </si>
  <si>
    <t>Idelphonse Nizeyimana detto "Terminetor"</t>
  </si>
  <si>
    <t>Luccini 2015</t>
  </si>
  <si>
    <t>Non Ci Avrete Mai</t>
  </si>
  <si>
    <t>Segastian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</si>
</sst>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8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" fillId="43" borderId="49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3" borderId="62" xfId="0" applyFont="1" applyFill="1" applyBorder="1" applyAlignment="1" applyProtection="1">
      <alignment horizontal="left" vertical="center"/>
      <protection hidden="1"/>
    </xf>
    <xf numFmtId="0" fontId="1" fillId="43" borderId="18" xfId="0" applyFont="1" applyFill="1" applyBorder="1" applyAlignment="1" applyProtection="1">
      <alignment horizontal="left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20</xdr:row>
      <xdr:rowOff>19050</xdr:rowOff>
    </xdr:from>
    <xdr:to>
      <xdr:col>9</xdr:col>
      <xdr:colOff>1362075</xdr:colOff>
      <xdr:row>27</xdr:row>
      <xdr:rowOff>180975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5248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1">
      <selection activeCell="Q11" sqref="Q1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61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Lineman Elf</v>
      </c>
      <c r="CI4" s="35" t="str">
        <f>HLOOKUP(K$24,CL$4:DJ$23,2,FALSE)</f>
        <v>Lineman Elf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61" t="s">
        <v>78</v>
      </c>
      <c r="DU4" s="13"/>
      <c r="DV4" s="34">
        <f>IF(DW4="","",DV3+1)</f>
        <v>2</v>
      </c>
      <c r="DW4" s="2" t="str">
        <f>IF(DX4=0,"",DX4)</f>
        <v>Lineman Elf Mercenary</v>
      </c>
      <c r="DX4" s="35" t="str">
        <f>HLOOKUP(K$24,EA$4:EX$11,2,FALSE)</f>
        <v>Lineman Elf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 t="s">
        <v>832</v>
      </c>
      <c r="E5" s="48" t="str">
        <f aca="true" t="shared" si="0" ref="E5:E20">IF(BH5&lt;=1,"",VLOOKUP(BH5,CG$1:CH$65536,2,FALSE))</f>
        <v>Blitzer Elf</v>
      </c>
      <c r="F5" s="49">
        <f aca="true" t="shared" si="1" ref="F5:F20">IF(E5&lt;&gt;"",VLOOKUP(E5,$BP:$BV,2,FALSE)+P5+AO5,"")</f>
        <v>7</v>
      </c>
      <c r="G5" s="49">
        <f aca="true" t="shared" si="2" ref="G5:G20">IF(E5&lt;&gt;"",VLOOKUP(E5,$BP:$BV,3,FALSE)+Q5+AP5,"")</f>
        <v>3</v>
      </c>
      <c r="H5" s="49">
        <f aca="true" t="shared" si="3" ref="H5:H20">IF(E5&lt;&gt;"",VLOOKUP(E5,$BP:$BV,4,FALSE)+R5+AQ5,"")</f>
        <v>4</v>
      </c>
      <c r="I5" s="49">
        <f aca="true" t="shared" si="4" ref="I5:I20">IF(E5&lt;&gt;"",VLOOKUP(E5,$BP:$BV,5,FALSE)+S5+AR5,"")</f>
        <v>8</v>
      </c>
      <c r="J5" s="50" t="str">
        <f>IF(E5="","",IF(COUNTIF(E5:E20,E5)&gt;VLOOKUP(E5,BP:BY,10,FALSE),"ERRORE! TROPPI GIOCATORI IN QUESTO RUOLO!",VLOOKUP(E5,BP:BV,6,FALSE)))</f>
        <v>Block, Side Step</v>
      </c>
      <c r="K5" s="204" t="str">
        <f>IF(AW39=0,IF(AY39&gt;0,"ERRORE!",AG5&amp;AH5&amp;AI5&amp;AJ5&amp;AK5&amp;AL5),AG5&amp;AH5&amp;AI5&amp;AJ5&amp;AK5&amp;AL5)</f>
        <v>Dodge, Frenzy</v>
      </c>
      <c r="L5" s="52" t="str">
        <f aca="true" t="shared" si="5" ref="L5:L20">IF(Z5="Star","",(IF(E5&lt;&gt;"",VLOOKUP(E5,BP$1:BX$65536,8,FALSE),"")))</f>
        <v>GA</v>
      </c>
      <c r="M5" s="52" t="str">
        <f aca="true" t="shared" si="6" ref="M5:M20">IF(Z5="Star","",(IF(E5&lt;&gt;"",VLOOKUP(E5,BP$1:BX$65536,9,FALSE),"")))</f>
        <v>SP</v>
      </c>
      <c r="N5" s="119"/>
      <c r="O5" s="119"/>
      <c r="P5" s="119"/>
      <c r="Q5" s="119"/>
      <c r="R5" s="119"/>
      <c r="S5" s="119"/>
      <c r="T5" s="122">
        <v>6</v>
      </c>
      <c r="U5" s="122"/>
      <c r="V5" s="122"/>
      <c r="W5" s="122">
        <v>2</v>
      </c>
      <c r="X5" s="122">
        <v>4</v>
      </c>
      <c r="Y5" s="122"/>
      <c r="Z5" s="98">
        <f aca="true" t="shared" si="7" ref="Z5:Z20">IF(LEFT(E5,1)="*","Star",T5*1+U5*2+V5*1+W5*3+X5*2+Y5*5)</f>
        <v>20</v>
      </c>
      <c r="AA5" s="52" t="str">
        <f aca="true" t="shared" si="8" ref="AA5:AA20">IF(Z5="Star","n/a",IF(Z5&gt;=176,"6",IF(Z5&gt;=76,"5",IF(Z5&gt;=51,"4",IF(Z5&gt;=31,"3",IF(Z5&gt;=16,"2",IF(Z5&gt;=6,"1","")))))))</f>
        <v>2</v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40</v>
      </c>
      <c r="AC5" s="128">
        <f>IF(N5&lt;&gt;"",(IF(N5="M",BM5)),(""))</f>
      </c>
      <c r="AD5" s="129">
        <f aca="true" t="shared" si="9" ref="AD5:AD20">IF(N5&lt;&gt;"",(IF(N5="M","")),(BM5))</f>
        <v>150000</v>
      </c>
      <c r="AE5" s="80"/>
      <c r="AF5" s="1"/>
      <c r="AG5" s="214" t="str">
        <f>IF(AT5&gt;1,VLOOKUP(AT5,$AG$43:$AH$104,2),"")</f>
        <v>Dodge</v>
      </c>
      <c r="AH5" s="215" t="str">
        <f aca="true" t="shared" si="10" ref="AH5:AH20">IF(AU5&gt;1,IF(AG5&lt;&gt;"",", ","")&amp;VLOOKUP(AU5,$AG$43:$AH$104,2),"")</f>
        <v>, Frenzy</v>
      </c>
      <c r="AI5" s="215">
        <f aca="true" t="shared" si="11" ref="AI5:AI20">IF(AV5&gt;1,IF(AG5&amp;AH5&lt;&gt;"",", ","")&amp;VLOOKUP(AV5,$AG$43:$AH$104,2),"")</f>
      </c>
      <c r="AJ5" s="215">
        <f aca="true" t="shared" si="12" ref="AJ5:AJ20">IF(AW5&gt;1,IF(AG5&amp;AH5&amp;AI5&lt;&gt;"",", ","")&amp;VLOOKUP(AW5,$AG$43:$AH$104,2),"")</f>
      </c>
      <c r="AK5" s="215">
        <f aca="true" t="shared" si="13" ref="AK5:AK20">IF(AX5&gt;1,IF(AG5&amp;AH5&amp;AI5&amp;AJ5&lt;&gt;"",", ","")&amp;VLOOKUP(AX5,$AG$43:$AH$104,2),"")</f>
      </c>
      <c r="AL5" s="216">
        <f aca="true" t="shared" si="14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21</v>
      </c>
      <c r="AU5" s="207">
        <v>7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 t="str">
        <f>IF(AT5&gt;1,VLOOKUP(AT5,$AG$43:$AH$104,2),"")</f>
        <v>Dodge</v>
      </c>
      <c r="BB5" s="221" t="str">
        <f aca="true" t="shared" si="15" ref="BB5:BB20">IF(AU5&gt;1,VLOOKUP(AU5,$AG$43:$AH$104,2),"")</f>
        <v>Frenzy</v>
      </c>
      <c r="BC5" s="221">
        <f aca="true" t="shared" si="16" ref="BC5:BC20">IF(AV5&gt;1,VLOOKUP(AV5,$AG$43:$AH$104,2),"")</f>
      </c>
      <c r="BD5" s="221">
        <f aca="true" t="shared" si="17" ref="BD5:BD20">IF(AW5&gt;1,VLOOKUP(AW5,$AG$43:$AH$104,2),"")</f>
      </c>
      <c r="BE5" s="221">
        <f aca="true" t="shared" si="18" ref="BE5:BE20">IF(AX5&gt;1,VLOOKUP(AX5,$AG$43:$AH$104,2),"")</f>
      </c>
      <c r="BF5" s="222">
        <f aca="true" t="shared" si="19" ref="BF5:BF20">IF(AY5&gt;1,VLOOKUP(AY5,$AG$43:$AH$104,2),"")</f>
      </c>
      <c r="BG5" s="199"/>
      <c r="BH5" s="16">
        <v>5</v>
      </c>
      <c r="BI5" s="12">
        <f aca="true" t="shared" si="20" ref="BI5:BI20">VLOOKUP(E5,$BP:$BV,2,FALSE)</f>
        <v>7</v>
      </c>
      <c r="BJ5" s="12">
        <f aca="true" t="shared" si="21" ref="BJ5:BJ20">VLOOKUP(E5,$BP:$BV,3,FALSE)</f>
        <v>3</v>
      </c>
      <c r="BK5" s="12">
        <f aca="true" t="shared" si="22" ref="BK5:BK20">VLOOKUP(E5,$BP:$BV,4,FALSE)</f>
        <v>4</v>
      </c>
      <c r="BL5" s="12">
        <f aca="true" t="shared" si="23" ref="BL5:BL20">VLOOKUP(E5,$BP:$BV,5,FALSE)</f>
        <v>8</v>
      </c>
      <c r="BM5" s="7">
        <f aca="true" t="shared" si="24" ref="BM5:BM20">(IF(E5&lt;&gt;"",VLOOKUP(E5,BP$1:BV$65536,7,FALSE),"0")+(AB5*1000))</f>
        <v>150000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62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25" ref="CG5:CG22">IF(CH5="","",CG4+1)</f>
        <v>3</v>
      </c>
      <c r="CH5" s="2" t="str">
        <f aca="true" t="shared" si="26" ref="CH5:CH22">IF(CI5=0,"",CI5)</f>
        <v>Thrower Elf</v>
      </c>
      <c r="CI5" s="35" t="str">
        <f>HLOOKUP(K$24,CL$4:DJ$23,3,FALSE)</f>
        <v>Thrower Elf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62"/>
      <c r="DU5" s="9"/>
      <c r="DV5" s="34">
        <f aca="true" t="shared" si="27" ref="DV5:DV11">IF(DW5="","",DV4+1)</f>
        <v>3</v>
      </c>
      <c r="DW5" s="2" t="str">
        <f>IF(DX5=0,"",DX5)</f>
        <v>Thrower Elf Mercenary</v>
      </c>
      <c r="DX5" s="35" t="str">
        <f>HLOOKUP(K$24,EA$4:EX$11,3,FALSE)</f>
        <v>Thrower Elf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 t="s">
        <v>833</v>
      </c>
      <c r="E6" s="43" t="str">
        <f t="shared" si="0"/>
        <v>Catcher Elf</v>
      </c>
      <c r="F6" s="49">
        <f t="shared" si="1"/>
        <v>8</v>
      </c>
      <c r="G6" s="49">
        <f t="shared" si="2"/>
        <v>3</v>
      </c>
      <c r="H6" s="49">
        <f t="shared" si="3"/>
        <v>4</v>
      </c>
      <c r="I6" s="49">
        <f t="shared" si="4"/>
        <v>7</v>
      </c>
      <c r="J6" s="45" t="str">
        <f>IF(E6="","",IF(COUNTIF(E5:E20,E6)&gt;VLOOKUP(E6,BP:BY,10,FALSE),"ERRORE! TROPPI GIOCATORI IN QUESTO RUOLO!",VLOOKUP(E6,BP:BV,6,FALSE)))</f>
        <v>Catch, Nerves of Steel</v>
      </c>
      <c r="K6" s="204" t="str">
        <f aca="true" t="shared" si="28" ref="K6:K20">IF(AW40=0,IF(AY40&gt;0,"ERRORE!",AG6&amp;AH6&amp;AI6&amp;AJ6&amp;AK6&amp;AL6),AG6&amp;AH6&amp;AI6&amp;AJ6&amp;AK6&amp;AL6)</f>
        <v>Block, Tackle, Mighty Blow</v>
      </c>
      <c r="L6" s="47" t="str">
        <f t="shared" si="5"/>
        <v>GA</v>
      </c>
      <c r="M6" s="47" t="str">
        <f t="shared" si="6"/>
        <v>SP</v>
      </c>
      <c r="N6" s="120"/>
      <c r="O6" s="120"/>
      <c r="P6" s="119"/>
      <c r="Q6" s="119"/>
      <c r="R6" s="119"/>
      <c r="S6" s="119"/>
      <c r="T6" s="123"/>
      <c r="U6" s="123"/>
      <c r="V6" s="123"/>
      <c r="W6" s="123">
        <v>5</v>
      </c>
      <c r="X6" s="123">
        <v>7</v>
      </c>
      <c r="Y6" s="123">
        <v>5</v>
      </c>
      <c r="Z6" s="98">
        <f t="shared" si="7"/>
        <v>54</v>
      </c>
      <c r="AA6" s="52" t="str">
        <f t="shared" si="8"/>
        <v>4</v>
      </c>
      <c r="AB6" s="247">
        <f aca="true" t="shared" si="29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70</v>
      </c>
      <c r="AC6" s="128">
        <f aca="true" t="shared" si="30" ref="AC6:AC20">IF(N6&lt;&gt;"",(IF(N6="M",BM6,(IF(N6="N/M",BM6,(IF(N6="N","")))))),(""))</f>
      </c>
      <c r="AD6" s="129">
        <f t="shared" si="9"/>
        <v>170000</v>
      </c>
      <c r="AE6" s="80"/>
      <c r="AF6" s="1"/>
      <c r="AG6" s="214" t="str">
        <f aca="true" t="shared" si="31" ref="AG6:AG20">IF(AT6&gt;1,VLOOKUP(AT6,$AG$43:$AH$104,2),"")</f>
        <v>Block</v>
      </c>
      <c r="AH6" s="215" t="str">
        <f t="shared" si="10"/>
        <v>, Tackle</v>
      </c>
      <c r="AI6" s="215" t="str">
        <f t="shared" si="11"/>
        <v>, Mighty Blow</v>
      </c>
      <c r="AJ6" s="215">
        <f t="shared" si="12"/>
      </c>
      <c r="AK6" s="215">
        <f t="shared" si="13"/>
      </c>
      <c r="AL6" s="216">
        <f t="shared" si="14"/>
      </c>
      <c r="AM6" s="199"/>
      <c r="AN6" s="199"/>
      <c r="AO6" s="206">
        <f aca="true" t="shared" si="32" ref="AO6:AO20">COUNTIF(AT23:AY23,1)</f>
        <v>0</v>
      </c>
      <c r="AP6" s="207">
        <f aca="true" t="shared" si="33" ref="AP6:AP20">COUNTIF(AT23:AY23,2)</f>
        <v>0</v>
      </c>
      <c r="AQ6" s="207">
        <f aca="true" t="shared" si="34" ref="AQ6:AQ20">COUNTIF(AT23:AY23,3)</f>
        <v>0</v>
      </c>
      <c r="AR6" s="208">
        <f aca="true" t="shared" si="35" ref="AR6:AR20">COUNTIF(AT23:AY23,4)</f>
        <v>0</v>
      </c>
      <c r="AS6" s="199"/>
      <c r="AT6" s="209">
        <v>3</v>
      </c>
      <c r="AU6" s="205">
        <v>15</v>
      </c>
      <c r="AV6" s="205">
        <v>41</v>
      </c>
      <c r="AW6" s="205">
        <v>1</v>
      </c>
      <c r="AX6" s="205">
        <v>1</v>
      </c>
      <c r="AY6" s="210">
        <v>1</v>
      </c>
      <c r="AZ6" s="199"/>
      <c r="BA6" s="223" t="str">
        <f aca="true" t="shared" si="36" ref="BA6:BA20">IF(AT6&gt;1,VLOOKUP(AT6,$AG$43:$AH$104,2),"")</f>
        <v>Block</v>
      </c>
      <c r="BB6" s="224" t="str">
        <f t="shared" si="15"/>
        <v>Tackle</v>
      </c>
      <c r="BC6" s="224" t="str">
        <f t="shared" si="16"/>
        <v>Mighty Blow</v>
      </c>
      <c r="BD6" s="224">
        <f t="shared" si="17"/>
      </c>
      <c r="BE6" s="224">
        <f t="shared" si="18"/>
      </c>
      <c r="BF6" s="225">
        <f t="shared" si="19"/>
      </c>
      <c r="BG6" s="199"/>
      <c r="BH6" s="16">
        <v>4</v>
      </c>
      <c r="BI6" s="12">
        <f t="shared" si="20"/>
        <v>8</v>
      </c>
      <c r="BJ6" s="12">
        <f t="shared" si="21"/>
        <v>3</v>
      </c>
      <c r="BK6" s="12">
        <f t="shared" si="22"/>
        <v>4</v>
      </c>
      <c r="BL6" s="12">
        <f t="shared" si="23"/>
        <v>7</v>
      </c>
      <c r="BM6" s="7">
        <f t="shared" si="24"/>
        <v>170000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62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25"/>
        <v>4</v>
      </c>
      <c r="CH6" s="2" t="str">
        <f t="shared" si="26"/>
        <v>Catcher Elf</v>
      </c>
      <c r="CI6" s="35" t="str">
        <f>HLOOKUP(K$24,CL$4:DJ$23,4,FALSE)</f>
        <v>Catcher Elf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62"/>
      <c r="DU6" s="9"/>
      <c r="DV6" s="34">
        <f t="shared" si="27"/>
        <v>4</v>
      </c>
      <c r="DW6" s="2" t="str">
        <f>IF(DX6=0,"",DX6)</f>
        <v>Catcher Elf Mercenary</v>
      </c>
      <c r="DX6" s="35" t="str">
        <f>HLOOKUP(K$24,EA$4:EX$11,4,FALSE)</f>
        <v>Catcher Elf Mercenary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 t="s">
        <v>834</v>
      </c>
      <c r="E7" s="43" t="str">
        <f t="shared" si="0"/>
        <v>Lineman Elf</v>
      </c>
      <c r="F7" s="49">
        <f t="shared" si="1"/>
        <v>6</v>
      </c>
      <c r="G7" s="49">
        <f t="shared" si="2"/>
        <v>3</v>
      </c>
      <c r="H7" s="49">
        <f t="shared" si="3"/>
        <v>4</v>
      </c>
      <c r="I7" s="49">
        <f t="shared" si="4"/>
        <v>7</v>
      </c>
      <c r="J7" s="45">
        <f>IF(E7="","",IF(COUNTIF(E5:E20,E7)&gt;VLOOKUP(E7,BP:BY,10,FALSE),"ERRORE! TROPPI GIOCATORI IN QUESTO RUOLO!",VLOOKUP(E7,BP:BV,6,FALSE)))</f>
        <v>0</v>
      </c>
      <c r="K7" s="204" t="str">
        <f t="shared" si="28"/>
        <v>Block</v>
      </c>
      <c r="L7" s="47" t="str">
        <f t="shared" si="5"/>
        <v>GA</v>
      </c>
      <c r="M7" s="47" t="str">
        <f t="shared" si="6"/>
        <v>SP</v>
      </c>
      <c r="N7" s="120"/>
      <c r="O7" s="120"/>
      <c r="P7" s="119"/>
      <c r="Q7" s="119"/>
      <c r="R7" s="119"/>
      <c r="S7" s="119"/>
      <c r="T7" s="123"/>
      <c r="U7" s="123"/>
      <c r="V7" s="123">
        <v>1</v>
      </c>
      <c r="W7" s="123"/>
      <c r="X7" s="123">
        <v>1</v>
      </c>
      <c r="Y7" s="123">
        <v>1</v>
      </c>
      <c r="Z7" s="98">
        <f t="shared" si="7"/>
        <v>8</v>
      </c>
      <c r="AA7" s="52" t="str">
        <f t="shared" si="8"/>
        <v>1</v>
      </c>
      <c r="AB7" s="247">
        <f t="shared" si="29"/>
        <v>20</v>
      </c>
      <c r="AC7" s="128">
        <f t="shared" si="30"/>
      </c>
      <c r="AD7" s="129">
        <f t="shared" si="9"/>
        <v>80000</v>
      </c>
      <c r="AE7" s="80"/>
      <c r="AF7" s="1"/>
      <c r="AG7" s="214" t="str">
        <f t="shared" si="31"/>
        <v>Block</v>
      </c>
      <c r="AH7" s="215">
        <f t="shared" si="10"/>
      </c>
      <c r="AI7" s="215">
        <f t="shared" si="11"/>
      </c>
      <c r="AJ7" s="215">
        <f t="shared" si="12"/>
      </c>
      <c r="AK7" s="215">
        <f t="shared" si="13"/>
      </c>
      <c r="AL7" s="216">
        <f t="shared" si="14"/>
      </c>
      <c r="AM7" s="199"/>
      <c r="AN7" s="199"/>
      <c r="AO7" s="206">
        <f t="shared" si="32"/>
        <v>0</v>
      </c>
      <c r="AP7" s="207">
        <f t="shared" si="33"/>
        <v>0</v>
      </c>
      <c r="AQ7" s="207">
        <f t="shared" si="34"/>
        <v>0</v>
      </c>
      <c r="AR7" s="208">
        <f t="shared" si="35"/>
        <v>0</v>
      </c>
      <c r="AS7" s="199"/>
      <c r="AT7" s="209">
        <v>3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 t="str">
        <f t="shared" si="36"/>
        <v>Block</v>
      </c>
      <c r="BB7" s="224">
        <f t="shared" si="15"/>
      </c>
      <c r="BC7" s="224">
        <f t="shared" si="16"/>
      </c>
      <c r="BD7" s="224">
        <f t="shared" si="17"/>
      </c>
      <c r="BE7" s="224">
        <f t="shared" si="18"/>
      </c>
      <c r="BF7" s="225">
        <f t="shared" si="19"/>
      </c>
      <c r="BG7" s="199"/>
      <c r="BH7" s="16">
        <v>2</v>
      </c>
      <c r="BI7" s="12">
        <f t="shared" si="20"/>
        <v>6</v>
      </c>
      <c r="BJ7" s="12">
        <f t="shared" si="21"/>
        <v>3</v>
      </c>
      <c r="BK7" s="12">
        <f t="shared" si="22"/>
        <v>4</v>
      </c>
      <c r="BL7" s="12">
        <f t="shared" si="23"/>
        <v>7</v>
      </c>
      <c r="BM7" s="7">
        <f t="shared" si="24"/>
        <v>80000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63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25"/>
        <v>5</v>
      </c>
      <c r="CH7" s="2" t="str">
        <f t="shared" si="26"/>
        <v>Blitzer Elf</v>
      </c>
      <c r="CI7" s="35" t="str">
        <f>HLOOKUP(K$24,CL$4:DJ$23,5,FALSE)</f>
        <v>Blitzer Elf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63"/>
      <c r="DU7" s="9"/>
      <c r="DV7" s="34">
        <f t="shared" si="27"/>
        <v>5</v>
      </c>
      <c r="DW7" s="2" t="str">
        <f>IF(DX7=0,"",DX7)</f>
        <v>Blitzer Elf Mercenary</v>
      </c>
      <c r="DX7" s="35" t="str">
        <f>HLOOKUP(K$24,EA$4:EX$11,5,FALSE)</f>
        <v>Blitzer Elf Mercenary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 t="s">
        <v>835</v>
      </c>
      <c r="E8" s="43" t="str">
        <f t="shared" si="0"/>
        <v>Lineman Elf</v>
      </c>
      <c r="F8" s="49">
        <f t="shared" si="1"/>
        <v>6</v>
      </c>
      <c r="G8" s="49">
        <f t="shared" si="2"/>
        <v>3</v>
      </c>
      <c r="H8" s="49">
        <f t="shared" si="3"/>
        <v>4</v>
      </c>
      <c r="I8" s="49">
        <f t="shared" si="4"/>
        <v>7</v>
      </c>
      <c r="J8" s="45">
        <f>IF(E8="","",IF(COUNTIF(E5:E20,E8)&gt;VLOOKUP(E8,BP:BY,10,FALSE),"ERRORE! TROPPI GIOCATORI IN QUESTO RUOLO!",VLOOKUP(E8,BP:BV,6,FALSE)))</f>
        <v>0</v>
      </c>
      <c r="K8" s="204">
        <f t="shared" si="28"/>
      </c>
      <c r="L8" s="47" t="str">
        <f t="shared" si="5"/>
        <v>GA</v>
      </c>
      <c r="M8" s="47" t="str">
        <f t="shared" si="6"/>
        <v>SP</v>
      </c>
      <c r="N8" s="120"/>
      <c r="O8" s="120"/>
      <c r="P8" s="119"/>
      <c r="Q8" s="119"/>
      <c r="R8" s="119"/>
      <c r="S8" s="119"/>
      <c r="T8" s="123"/>
      <c r="U8" s="123"/>
      <c r="V8" s="123">
        <v>1</v>
      </c>
      <c r="W8" s="123"/>
      <c r="X8" s="123"/>
      <c r="Y8" s="123"/>
      <c r="Z8" s="98">
        <f t="shared" si="7"/>
        <v>1</v>
      </c>
      <c r="AA8" s="52">
        <f t="shared" si="8"/>
      </c>
      <c r="AB8" s="247">
        <f t="shared" si="29"/>
        <v>0</v>
      </c>
      <c r="AC8" s="128">
        <f t="shared" si="30"/>
      </c>
      <c r="AD8" s="129">
        <f t="shared" si="9"/>
        <v>60000</v>
      </c>
      <c r="AE8" s="80"/>
      <c r="AF8" s="1"/>
      <c r="AG8" s="214">
        <f t="shared" si="31"/>
      </c>
      <c r="AH8" s="215">
        <f t="shared" si="10"/>
      </c>
      <c r="AI8" s="215">
        <f t="shared" si="11"/>
      </c>
      <c r="AJ8" s="215">
        <f t="shared" si="12"/>
      </c>
      <c r="AK8" s="215">
        <f t="shared" si="13"/>
      </c>
      <c r="AL8" s="216">
        <f t="shared" si="14"/>
      </c>
      <c r="AM8" s="199"/>
      <c r="AN8" s="199"/>
      <c r="AO8" s="206">
        <f t="shared" si="32"/>
        <v>0</v>
      </c>
      <c r="AP8" s="207">
        <f t="shared" si="33"/>
        <v>0</v>
      </c>
      <c r="AQ8" s="207">
        <f t="shared" si="34"/>
        <v>0</v>
      </c>
      <c r="AR8" s="208">
        <f t="shared" si="35"/>
        <v>0</v>
      </c>
      <c r="AS8" s="199"/>
      <c r="AT8" s="209">
        <v>1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>
        <f t="shared" si="36"/>
      </c>
      <c r="BB8" s="224">
        <f t="shared" si="15"/>
      </c>
      <c r="BC8" s="224">
        <f t="shared" si="16"/>
      </c>
      <c r="BD8" s="224">
        <f t="shared" si="17"/>
      </c>
      <c r="BE8" s="224">
        <f t="shared" si="18"/>
      </c>
      <c r="BF8" s="225">
        <f t="shared" si="19"/>
      </c>
      <c r="BG8" s="199"/>
      <c r="BH8" s="16">
        <v>2</v>
      </c>
      <c r="BI8" s="12">
        <f t="shared" si="20"/>
        <v>6</v>
      </c>
      <c r="BJ8" s="12">
        <f t="shared" si="21"/>
        <v>3</v>
      </c>
      <c r="BK8" s="12">
        <f t="shared" si="22"/>
        <v>4</v>
      </c>
      <c r="BL8" s="12">
        <f t="shared" si="23"/>
        <v>7</v>
      </c>
      <c r="BM8" s="7">
        <f t="shared" si="24"/>
        <v>60000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55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25"/>
        <v>6</v>
      </c>
      <c r="CH8" s="2" t="str">
        <f t="shared" si="26"/>
        <v>*Dolfar Longstride</v>
      </c>
      <c r="CI8" s="35" t="str">
        <f>HLOOKUP(K$24,CL$4:DJ$23,6,FALSE)</f>
        <v>*Dolfar Longstride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55" t="s">
        <v>34</v>
      </c>
      <c r="DU8" s="9"/>
      <c r="DV8" s="34">
        <f t="shared" si="27"/>
      </c>
      <c r="DW8" s="2"/>
      <c r="DX8" s="35">
        <f>HLOOKUP(K$24,EA$4:EX$11,6,FALSE)</f>
        <v>0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 t="s">
        <v>836</v>
      </c>
      <c r="E9" s="43" t="str">
        <f t="shared" si="0"/>
        <v>Thrower Elf</v>
      </c>
      <c r="F9" s="49">
        <f t="shared" si="1"/>
        <v>6</v>
      </c>
      <c r="G9" s="49">
        <f t="shared" si="2"/>
        <v>3</v>
      </c>
      <c r="H9" s="49">
        <f t="shared" si="3"/>
        <v>4</v>
      </c>
      <c r="I9" s="49">
        <f t="shared" si="4"/>
        <v>7</v>
      </c>
      <c r="J9" s="45" t="str">
        <f>IF(E9="","",IF(COUNTIF(E5:E20,E9)&gt;VLOOKUP(E9,BP:BY,10,FALSE),"ERRORE! TROPPI GIOCATORI IN QUESTO RUOLO!",VLOOKUP(E9,BP:BV,6,FALSE)))</f>
        <v>Pass</v>
      </c>
      <c r="K9" s="204" t="str">
        <f t="shared" si="28"/>
        <v>Dodge, Block</v>
      </c>
      <c r="L9" s="47" t="str">
        <f t="shared" si="5"/>
        <v>GAP</v>
      </c>
      <c r="M9" s="47" t="str">
        <f t="shared" si="6"/>
        <v>S</v>
      </c>
      <c r="N9" s="120"/>
      <c r="O9" s="120"/>
      <c r="P9" s="119"/>
      <c r="Q9" s="119"/>
      <c r="R9" s="119"/>
      <c r="S9" s="119"/>
      <c r="T9" s="123">
        <v>4</v>
      </c>
      <c r="U9" s="123"/>
      <c r="V9" s="123">
        <v>11</v>
      </c>
      <c r="W9" s="123">
        <v>1</v>
      </c>
      <c r="X9" s="123"/>
      <c r="Y9" s="123">
        <v>1</v>
      </c>
      <c r="Z9" s="98">
        <f t="shared" si="7"/>
        <v>23</v>
      </c>
      <c r="AA9" s="52" t="str">
        <f t="shared" si="8"/>
        <v>2</v>
      </c>
      <c r="AB9" s="247">
        <f t="shared" si="29"/>
        <v>40</v>
      </c>
      <c r="AC9" s="128">
        <f t="shared" si="30"/>
      </c>
      <c r="AD9" s="129">
        <f t="shared" si="9"/>
        <v>110000</v>
      </c>
      <c r="AE9" s="80"/>
      <c r="AF9" s="1"/>
      <c r="AG9" s="214" t="str">
        <f t="shared" si="31"/>
        <v>Dodge</v>
      </c>
      <c r="AH9" s="215" t="str">
        <f t="shared" si="10"/>
        <v>, Block</v>
      </c>
      <c r="AI9" s="215">
        <f t="shared" si="11"/>
      </c>
      <c r="AJ9" s="215">
        <f t="shared" si="12"/>
      </c>
      <c r="AK9" s="215">
        <f t="shared" si="13"/>
      </c>
      <c r="AL9" s="216">
        <f t="shared" si="14"/>
      </c>
      <c r="AM9" s="199"/>
      <c r="AN9" s="199"/>
      <c r="AO9" s="206">
        <f t="shared" si="32"/>
        <v>0</v>
      </c>
      <c r="AP9" s="207">
        <f t="shared" si="33"/>
        <v>0</v>
      </c>
      <c r="AQ9" s="207">
        <f t="shared" si="34"/>
        <v>0</v>
      </c>
      <c r="AR9" s="208">
        <f t="shared" si="35"/>
        <v>0</v>
      </c>
      <c r="AS9" s="199"/>
      <c r="AT9" s="209">
        <v>21</v>
      </c>
      <c r="AU9" s="205">
        <v>3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36"/>
        <v>Dodge</v>
      </c>
      <c r="BB9" s="224" t="str">
        <f t="shared" si="15"/>
        <v>Block</v>
      </c>
      <c r="BC9" s="224">
        <f t="shared" si="16"/>
      </c>
      <c r="BD9" s="224">
        <f t="shared" si="17"/>
      </c>
      <c r="BE9" s="224">
        <f t="shared" si="18"/>
      </c>
      <c r="BF9" s="225">
        <f t="shared" si="19"/>
      </c>
      <c r="BG9" s="199"/>
      <c r="BH9" s="16">
        <v>3</v>
      </c>
      <c r="BI9" s="12">
        <f t="shared" si="20"/>
        <v>6</v>
      </c>
      <c r="BJ9" s="12">
        <f t="shared" si="21"/>
        <v>3</v>
      </c>
      <c r="BK9" s="12">
        <f t="shared" si="22"/>
        <v>4</v>
      </c>
      <c r="BL9" s="12">
        <f t="shared" si="23"/>
        <v>7</v>
      </c>
      <c r="BM9" s="7">
        <f t="shared" si="24"/>
        <v>110000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56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25"/>
        <v>7</v>
      </c>
      <c r="CH9" s="2" t="str">
        <f t="shared" si="26"/>
        <v>*Eldril Sidewinder</v>
      </c>
      <c r="CI9" s="35" t="str">
        <f>HLOOKUP(K$24,CL$4:DJ$23,7,FALSE)</f>
        <v>*Eldril Sidewinder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56"/>
      <c r="DU9" s="9"/>
      <c r="DV9" s="34">
        <f t="shared" si="27"/>
      </c>
      <c r="DW9" s="2"/>
      <c r="DX9" s="35">
        <f>HLOOKUP(K$24,EA$4:EX$11,7,FALSE)</f>
        <v>0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 t="s">
        <v>837</v>
      </c>
      <c r="E10" s="43" t="str">
        <f t="shared" si="0"/>
        <v>Catcher Elf</v>
      </c>
      <c r="F10" s="49">
        <f t="shared" si="1"/>
        <v>8</v>
      </c>
      <c r="G10" s="49">
        <f t="shared" si="2"/>
        <v>4</v>
      </c>
      <c r="H10" s="49">
        <f t="shared" si="3"/>
        <v>4</v>
      </c>
      <c r="I10" s="49">
        <f t="shared" si="4"/>
        <v>7</v>
      </c>
      <c r="J10" s="45" t="str">
        <f>IF(E10="","",IF(COUNTIF(E5:E20,E10)&gt;VLOOKUP(E10,BP:BY,10,FALSE),"ERRORE! TROPPI GIOCATORI IN QUESTO RUOLO!",VLOOKUP(E10,BP:BV,6,FALSE)))</f>
        <v>Catch, Nerves of Steel</v>
      </c>
      <c r="K10" s="204" t="str">
        <f t="shared" si="28"/>
        <v>Block, +1 ST</v>
      </c>
      <c r="L10" s="47" t="str">
        <f t="shared" si="5"/>
        <v>GA</v>
      </c>
      <c r="M10" s="47" t="str">
        <f t="shared" si="6"/>
        <v>SP</v>
      </c>
      <c r="N10" s="120"/>
      <c r="O10" s="120"/>
      <c r="P10" s="119"/>
      <c r="Q10" s="119"/>
      <c r="R10" s="119"/>
      <c r="S10" s="119"/>
      <c r="T10" s="123"/>
      <c r="U10" s="123"/>
      <c r="V10" s="123">
        <v>2</v>
      </c>
      <c r="W10" s="123">
        <v>1</v>
      </c>
      <c r="X10" s="123">
        <v>3</v>
      </c>
      <c r="Y10" s="123">
        <v>2</v>
      </c>
      <c r="Z10" s="98">
        <f t="shared" si="7"/>
        <v>21</v>
      </c>
      <c r="AA10" s="52" t="str">
        <f t="shared" si="8"/>
        <v>2</v>
      </c>
      <c r="AB10" s="247">
        <f t="shared" si="29"/>
        <v>70</v>
      </c>
      <c r="AC10" s="128">
        <f t="shared" si="30"/>
      </c>
      <c r="AD10" s="129">
        <f t="shared" si="9"/>
        <v>170000</v>
      </c>
      <c r="AE10" s="80"/>
      <c r="AF10" s="1"/>
      <c r="AG10" s="214" t="str">
        <f t="shared" si="31"/>
        <v>Block</v>
      </c>
      <c r="AH10" s="215" t="str">
        <f t="shared" si="10"/>
        <v>, +1 ST</v>
      </c>
      <c r="AI10" s="215">
        <f t="shared" si="11"/>
      </c>
      <c r="AJ10" s="215">
        <f t="shared" si="12"/>
      </c>
      <c r="AK10" s="215">
        <f t="shared" si="13"/>
      </c>
      <c r="AL10" s="216">
        <f t="shared" si="14"/>
      </c>
      <c r="AM10" s="199"/>
      <c r="AN10" s="199"/>
      <c r="AO10" s="206">
        <f t="shared" si="32"/>
        <v>0</v>
      </c>
      <c r="AP10" s="207">
        <f t="shared" si="33"/>
        <v>1</v>
      </c>
      <c r="AQ10" s="207">
        <f t="shared" si="34"/>
        <v>0</v>
      </c>
      <c r="AR10" s="208">
        <f t="shared" si="35"/>
        <v>0</v>
      </c>
      <c r="AS10" s="199"/>
      <c r="AT10" s="209">
        <v>3</v>
      </c>
      <c r="AU10" s="205">
        <v>62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 t="str">
        <f t="shared" si="36"/>
        <v>Block</v>
      </c>
      <c r="BB10" s="224" t="str">
        <f t="shared" si="15"/>
        <v>+1 ST</v>
      </c>
      <c r="BC10" s="224">
        <f t="shared" si="16"/>
      </c>
      <c r="BD10" s="224">
        <f t="shared" si="17"/>
      </c>
      <c r="BE10" s="224">
        <f t="shared" si="18"/>
      </c>
      <c r="BF10" s="225">
        <f t="shared" si="19"/>
      </c>
      <c r="BG10" s="199"/>
      <c r="BH10" s="16">
        <v>4</v>
      </c>
      <c r="BI10" s="12">
        <f t="shared" si="20"/>
        <v>8</v>
      </c>
      <c r="BJ10" s="12">
        <f t="shared" si="21"/>
        <v>3</v>
      </c>
      <c r="BK10" s="12">
        <f t="shared" si="22"/>
        <v>4</v>
      </c>
      <c r="BL10" s="12">
        <f t="shared" si="23"/>
        <v>7</v>
      </c>
      <c r="BM10" s="7">
        <f t="shared" si="24"/>
        <v>170000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57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25"/>
        <v>8</v>
      </c>
      <c r="CH10" s="2" t="str">
        <f t="shared" si="26"/>
        <v>*Hubris Rakhart</v>
      </c>
      <c r="CI10" s="35" t="str">
        <f>HLOOKUP(K$24,CL$4:DJ$23,8,FALSE)</f>
        <v>*Hubris Rakhart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57"/>
      <c r="DU10" s="9"/>
      <c r="DV10" s="34">
        <f t="shared" si="27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 t="s">
        <v>838</v>
      </c>
      <c r="E11" s="43" t="str">
        <f t="shared" si="0"/>
        <v>Lineman Elf</v>
      </c>
      <c r="F11" s="49">
        <f t="shared" si="1"/>
        <v>6</v>
      </c>
      <c r="G11" s="49">
        <f t="shared" si="2"/>
        <v>3</v>
      </c>
      <c r="H11" s="49">
        <f t="shared" si="3"/>
        <v>4</v>
      </c>
      <c r="I11" s="49">
        <f t="shared" si="4"/>
        <v>7</v>
      </c>
      <c r="J11" s="45">
        <f>IF(E11="","",IF(COUNTIF(E5:E20,E11)&gt;VLOOKUP(E11,BP:BY,10,FALSE),"ERRORE! TROPPI GIOCATORI IN QUESTO RUOLO!",VLOOKUP(E11,BP:BV,6,FALSE)))</f>
        <v>0</v>
      </c>
      <c r="K11" s="204">
        <f t="shared" si="28"/>
      </c>
      <c r="L11" s="47" t="str">
        <f t="shared" si="5"/>
        <v>GA</v>
      </c>
      <c r="M11" s="47" t="str">
        <f t="shared" si="6"/>
        <v>SP</v>
      </c>
      <c r="N11" s="120"/>
      <c r="O11" s="120"/>
      <c r="P11" s="119"/>
      <c r="Q11" s="119"/>
      <c r="R11" s="119"/>
      <c r="S11" s="119"/>
      <c r="T11" s="123"/>
      <c r="U11" s="123"/>
      <c r="V11" s="123"/>
      <c r="W11" s="123"/>
      <c r="X11" s="123"/>
      <c r="Y11" s="123"/>
      <c r="Z11" s="98">
        <f t="shared" si="7"/>
        <v>0</v>
      </c>
      <c r="AA11" s="52">
        <f t="shared" si="8"/>
      </c>
      <c r="AB11" s="247">
        <f t="shared" si="29"/>
        <v>0</v>
      </c>
      <c r="AC11" s="128">
        <f t="shared" si="30"/>
      </c>
      <c r="AD11" s="129">
        <f t="shared" si="9"/>
        <v>60000</v>
      </c>
      <c r="AE11" s="80"/>
      <c r="AF11" s="1"/>
      <c r="AG11" s="214">
        <f t="shared" si="31"/>
      </c>
      <c r="AH11" s="215">
        <f t="shared" si="10"/>
      </c>
      <c r="AI11" s="215">
        <f t="shared" si="11"/>
      </c>
      <c r="AJ11" s="215">
        <f t="shared" si="12"/>
      </c>
      <c r="AK11" s="215">
        <f t="shared" si="13"/>
      </c>
      <c r="AL11" s="216">
        <f t="shared" si="14"/>
      </c>
      <c r="AM11" s="199"/>
      <c r="AN11" s="199"/>
      <c r="AO11" s="206">
        <f t="shared" si="32"/>
        <v>0</v>
      </c>
      <c r="AP11" s="207">
        <f t="shared" si="33"/>
        <v>0</v>
      </c>
      <c r="AQ11" s="207">
        <f t="shared" si="34"/>
        <v>0</v>
      </c>
      <c r="AR11" s="208">
        <f t="shared" si="35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36"/>
      </c>
      <c r="BB11" s="224">
        <f t="shared" si="15"/>
      </c>
      <c r="BC11" s="224">
        <f t="shared" si="16"/>
      </c>
      <c r="BD11" s="224">
        <f t="shared" si="17"/>
      </c>
      <c r="BE11" s="224">
        <f t="shared" si="18"/>
      </c>
      <c r="BF11" s="225">
        <f t="shared" si="19"/>
      </c>
      <c r="BG11" s="199"/>
      <c r="BH11" s="16">
        <v>2</v>
      </c>
      <c r="BI11" s="12">
        <f t="shared" si="20"/>
        <v>6</v>
      </c>
      <c r="BJ11" s="12">
        <f t="shared" si="21"/>
        <v>3</v>
      </c>
      <c r="BK11" s="12">
        <f t="shared" si="22"/>
        <v>4</v>
      </c>
      <c r="BL11" s="12">
        <f t="shared" si="23"/>
        <v>7</v>
      </c>
      <c r="BM11" s="7">
        <f t="shared" si="24"/>
        <v>60000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61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25"/>
        <v>9</v>
      </c>
      <c r="CH11" s="2" t="str">
        <f t="shared" si="26"/>
        <v>*Jordell Freshbreeze</v>
      </c>
      <c r="CI11" s="35" t="str">
        <f>HLOOKUP(K$24,CL$4:DJ$23,9,FALSE)</f>
        <v>*Jordell Freshbreeze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61" t="s">
        <v>86</v>
      </c>
      <c r="DU11" s="9"/>
      <c r="DV11" s="34">
        <f t="shared" si="27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 t="s">
        <v>839</v>
      </c>
      <c r="E12" s="43" t="str">
        <f t="shared" si="0"/>
        <v>Thrower Elf</v>
      </c>
      <c r="F12" s="49">
        <f t="shared" si="1"/>
        <v>6</v>
      </c>
      <c r="G12" s="49">
        <f t="shared" si="2"/>
        <v>3</v>
      </c>
      <c r="H12" s="49">
        <f t="shared" si="3"/>
        <v>4</v>
      </c>
      <c r="I12" s="49">
        <f t="shared" si="4"/>
        <v>7</v>
      </c>
      <c r="J12" s="45" t="str">
        <f>IF(E12="","",IF(COUNTIF(E5:E20,E12)&gt;VLOOKUP(E12,BP:BY,10,FALSE),"ERRORE! TROPPI GIOCATORI IN QUESTO RUOLO!",VLOOKUP(E12,BP:BV,6,FALSE)))</f>
        <v>Pass</v>
      </c>
      <c r="K12" s="204" t="str">
        <f t="shared" si="28"/>
        <v>Guard</v>
      </c>
      <c r="L12" s="47" t="str">
        <f t="shared" si="5"/>
        <v>GAP</v>
      </c>
      <c r="M12" s="47" t="str">
        <f t="shared" si="6"/>
        <v>S</v>
      </c>
      <c r="N12" s="120"/>
      <c r="O12" s="120"/>
      <c r="P12" s="119"/>
      <c r="Q12" s="119"/>
      <c r="R12" s="119"/>
      <c r="S12" s="119"/>
      <c r="T12" s="123"/>
      <c r="U12" s="123"/>
      <c r="V12" s="123">
        <v>6</v>
      </c>
      <c r="W12" s="123"/>
      <c r="X12" s="123"/>
      <c r="Y12" s="123"/>
      <c r="Z12" s="98">
        <f t="shared" si="7"/>
        <v>6</v>
      </c>
      <c r="AA12" s="52" t="str">
        <f t="shared" si="8"/>
        <v>1</v>
      </c>
      <c r="AB12" s="247">
        <f t="shared" si="29"/>
        <v>30</v>
      </c>
      <c r="AC12" s="128">
        <f t="shared" si="30"/>
      </c>
      <c r="AD12" s="129">
        <f t="shared" si="9"/>
        <v>100000</v>
      </c>
      <c r="AE12" s="80"/>
      <c r="AF12" s="1"/>
      <c r="AG12" s="214" t="str">
        <f t="shared" si="31"/>
        <v>Guard</v>
      </c>
      <c r="AH12" s="215">
        <f t="shared" si="10"/>
      </c>
      <c r="AI12" s="215">
        <f t="shared" si="11"/>
      </c>
      <c r="AJ12" s="215">
        <f t="shared" si="12"/>
      </c>
      <c r="AK12" s="215">
        <f t="shared" si="13"/>
      </c>
      <c r="AL12" s="216">
        <f t="shared" si="14"/>
      </c>
      <c r="AM12" s="199"/>
      <c r="AN12" s="199"/>
      <c r="AO12" s="206">
        <f t="shared" si="32"/>
        <v>0</v>
      </c>
      <c r="AP12" s="207">
        <f t="shared" si="33"/>
        <v>0</v>
      </c>
      <c r="AQ12" s="207">
        <f t="shared" si="34"/>
        <v>0</v>
      </c>
      <c r="AR12" s="208">
        <f t="shared" si="35"/>
        <v>0</v>
      </c>
      <c r="AS12" s="199"/>
      <c r="AT12" s="209">
        <v>39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 t="str">
        <f t="shared" si="36"/>
        <v>Guard</v>
      </c>
      <c r="BB12" s="224">
        <f t="shared" si="15"/>
      </c>
      <c r="BC12" s="224">
        <f t="shared" si="16"/>
      </c>
      <c r="BD12" s="224">
        <f t="shared" si="17"/>
      </c>
      <c r="BE12" s="224">
        <f t="shared" si="18"/>
      </c>
      <c r="BF12" s="225">
        <f t="shared" si="19"/>
      </c>
      <c r="BG12" s="199"/>
      <c r="BH12" s="16">
        <v>3</v>
      </c>
      <c r="BI12" s="12">
        <f t="shared" si="20"/>
        <v>6</v>
      </c>
      <c r="BJ12" s="12">
        <f t="shared" si="21"/>
        <v>3</v>
      </c>
      <c r="BK12" s="12">
        <f t="shared" si="22"/>
        <v>4</v>
      </c>
      <c r="BL12" s="12">
        <f t="shared" si="23"/>
        <v>7</v>
      </c>
      <c r="BM12" s="7">
        <f t="shared" si="24"/>
        <v>100000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62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25"/>
        <v>10</v>
      </c>
      <c r="CH12" s="2" t="str">
        <f t="shared" si="26"/>
        <v>*Morg ’n’ Thorg</v>
      </c>
      <c r="CI12" s="35" t="str">
        <f>HLOOKUP(K$24,CL$4:DJ$23,10,FALSE)</f>
        <v>*Morg ’n’ Thorg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62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 t="s">
        <v>840</v>
      </c>
      <c r="E13" s="43" t="str">
        <f t="shared" si="0"/>
        <v>Lineman Elf</v>
      </c>
      <c r="F13" s="49">
        <f t="shared" si="1"/>
        <v>6</v>
      </c>
      <c r="G13" s="49">
        <f t="shared" si="2"/>
        <v>3</v>
      </c>
      <c r="H13" s="49">
        <f t="shared" si="3"/>
        <v>4</v>
      </c>
      <c r="I13" s="49">
        <f t="shared" si="4"/>
        <v>6</v>
      </c>
      <c r="J13" s="45">
        <f>IF(E13="","",IF(COUNTIF(E5:E20,E13)&gt;VLOOKUP(E13,BP:BY,10,FALSE),"ERRORE! TROPPI GIOCATORI IN QUESTO RUOLO!",VLOOKUP(E13,BP:BV,6,FALSE)))</f>
        <v>0</v>
      </c>
      <c r="K13" s="204">
        <f t="shared" si="28"/>
      </c>
      <c r="L13" s="47" t="str">
        <f t="shared" si="5"/>
        <v>GA</v>
      </c>
      <c r="M13" s="47" t="str">
        <f t="shared" si="6"/>
        <v>SP</v>
      </c>
      <c r="N13" s="120"/>
      <c r="O13" s="120"/>
      <c r="P13" s="119"/>
      <c r="Q13" s="119"/>
      <c r="R13" s="119"/>
      <c r="S13" s="119">
        <v>-1</v>
      </c>
      <c r="T13" s="123"/>
      <c r="U13" s="123"/>
      <c r="V13" s="123"/>
      <c r="W13" s="123"/>
      <c r="X13" s="123"/>
      <c r="Y13" s="123"/>
      <c r="Z13" s="98">
        <f t="shared" si="7"/>
        <v>0</v>
      </c>
      <c r="AA13" s="52">
        <f t="shared" si="8"/>
      </c>
      <c r="AB13" s="247">
        <f t="shared" si="29"/>
        <v>0</v>
      </c>
      <c r="AC13" s="128">
        <f t="shared" si="30"/>
      </c>
      <c r="AD13" s="129">
        <f t="shared" si="9"/>
        <v>60000</v>
      </c>
      <c r="AE13" s="80"/>
      <c r="AF13" s="1"/>
      <c r="AG13" s="214">
        <f t="shared" si="31"/>
      </c>
      <c r="AH13" s="215">
        <f t="shared" si="10"/>
      </c>
      <c r="AI13" s="215">
        <f t="shared" si="11"/>
      </c>
      <c r="AJ13" s="215">
        <f t="shared" si="12"/>
      </c>
      <c r="AK13" s="215">
        <f t="shared" si="13"/>
      </c>
      <c r="AL13" s="216">
        <f t="shared" si="14"/>
      </c>
      <c r="AM13" s="199"/>
      <c r="AN13" s="199"/>
      <c r="AO13" s="206">
        <f t="shared" si="32"/>
        <v>0</v>
      </c>
      <c r="AP13" s="207">
        <f t="shared" si="33"/>
        <v>0</v>
      </c>
      <c r="AQ13" s="207">
        <f t="shared" si="34"/>
        <v>0</v>
      </c>
      <c r="AR13" s="208">
        <f t="shared" si="35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36"/>
      </c>
      <c r="BB13" s="224">
        <f t="shared" si="15"/>
      </c>
      <c r="BC13" s="224">
        <f t="shared" si="16"/>
      </c>
      <c r="BD13" s="224">
        <f t="shared" si="17"/>
      </c>
      <c r="BE13" s="224">
        <f t="shared" si="18"/>
      </c>
      <c r="BF13" s="225">
        <f t="shared" si="19"/>
      </c>
      <c r="BG13" s="199"/>
      <c r="BH13" s="16">
        <v>2</v>
      </c>
      <c r="BI13" s="12">
        <f t="shared" si="20"/>
        <v>6</v>
      </c>
      <c r="BJ13" s="12">
        <f t="shared" si="21"/>
        <v>3</v>
      </c>
      <c r="BK13" s="12">
        <f t="shared" si="22"/>
        <v>4</v>
      </c>
      <c r="BL13" s="12">
        <f t="shared" si="23"/>
        <v>7</v>
      </c>
      <c r="BM13" s="7">
        <f t="shared" si="24"/>
        <v>60000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62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25"/>
        <v>11</v>
      </c>
      <c r="CH13" s="2" t="str">
        <f t="shared" si="26"/>
        <v>*Prince Moranion</v>
      </c>
      <c r="CI13" s="35" t="str">
        <f>HLOOKUP(K$24,CL$4:DJ$23,11,FALSE)</f>
        <v>*Prince Moranion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62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 t="s">
        <v>841</v>
      </c>
      <c r="E14" s="43" t="str">
        <f t="shared" si="0"/>
        <v>Catcher Elf</v>
      </c>
      <c r="F14" s="49">
        <f t="shared" si="1"/>
        <v>8</v>
      </c>
      <c r="G14" s="49">
        <f t="shared" si="2"/>
        <v>3</v>
      </c>
      <c r="H14" s="49">
        <f t="shared" si="3"/>
        <v>5</v>
      </c>
      <c r="I14" s="49">
        <f t="shared" si="4"/>
        <v>7</v>
      </c>
      <c r="J14" s="45" t="str">
        <f>IF(E14="","",IF(COUNTIF(E5:E20,E14)&gt;VLOOKUP(E14,BP:BY,10,FALSE),"ERRORE! TROPPI GIOCATORI IN QUESTO RUOLO!",VLOOKUP(E14,BP:BV,6,FALSE)))</f>
        <v>Catch, Nerves of Steel</v>
      </c>
      <c r="K14" s="204" t="str">
        <f t="shared" si="28"/>
        <v>Dodge, +1 AG</v>
      </c>
      <c r="L14" s="47" t="str">
        <f t="shared" si="5"/>
        <v>GA</v>
      </c>
      <c r="M14" s="47" t="str">
        <f t="shared" si="6"/>
        <v>SP</v>
      </c>
      <c r="N14" s="120"/>
      <c r="O14" s="120"/>
      <c r="P14" s="119"/>
      <c r="Q14" s="119"/>
      <c r="R14" s="119"/>
      <c r="S14" s="119"/>
      <c r="T14" s="123"/>
      <c r="U14" s="123"/>
      <c r="V14" s="123">
        <v>2</v>
      </c>
      <c r="W14" s="123">
        <v>5</v>
      </c>
      <c r="X14" s="123">
        <v>1</v>
      </c>
      <c r="Y14" s="123"/>
      <c r="Z14" s="98">
        <f t="shared" si="7"/>
        <v>19</v>
      </c>
      <c r="AA14" s="52" t="str">
        <f t="shared" si="8"/>
        <v>2</v>
      </c>
      <c r="AB14" s="247">
        <f t="shared" si="29"/>
        <v>60</v>
      </c>
      <c r="AC14" s="128">
        <f t="shared" si="30"/>
      </c>
      <c r="AD14" s="129">
        <f t="shared" si="9"/>
        <v>160000</v>
      </c>
      <c r="AE14" s="80"/>
      <c r="AF14" s="1"/>
      <c r="AG14" s="214" t="str">
        <f t="shared" si="31"/>
        <v>Dodge</v>
      </c>
      <c r="AH14" s="215" t="str">
        <f t="shared" si="10"/>
        <v>, +1 AG</v>
      </c>
      <c r="AI14" s="215">
        <f t="shared" si="11"/>
      </c>
      <c r="AJ14" s="215">
        <f t="shared" si="12"/>
      </c>
      <c r="AK14" s="215">
        <f t="shared" si="13"/>
      </c>
      <c r="AL14" s="216">
        <f t="shared" si="14"/>
      </c>
      <c r="AM14" s="199"/>
      <c r="AN14" s="199"/>
      <c r="AO14" s="206">
        <f t="shared" si="32"/>
        <v>0</v>
      </c>
      <c r="AP14" s="207">
        <f t="shared" si="33"/>
        <v>0</v>
      </c>
      <c r="AQ14" s="207">
        <f t="shared" si="34"/>
        <v>1</v>
      </c>
      <c r="AR14" s="208">
        <f t="shared" si="35"/>
        <v>0</v>
      </c>
      <c r="AS14" s="199"/>
      <c r="AT14" s="209">
        <v>21</v>
      </c>
      <c r="AU14" s="205">
        <v>61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 t="str">
        <f t="shared" si="36"/>
        <v>Dodge</v>
      </c>
      <c r="BB14" s="224" t="str">
        <f t="shared" si="15"/>
        <v>+1 AG</v>
      </c>
      <c r="BC14" s="224">
        <f t="shared" si="16"/>
      </c>
      <c r="BD14" s="224">
        <f t="shared" si="17"/>
      </c>
      <c r="BE14" s="224">
        <f t="shared" si="18"/>
      </c>
      <c r="BF14" s="225">
        <f t="shared" si="19"/>
      </c>
      <c r="BG14" s="199"/>
      <c r="BH14" s="16">
        <v>4</v>
      </c>
      <c r="BI14" s="12">
        <f t="shared" si="20"/>
        <v>8</v>
      </c>
      <c r="BJ14" s="12">
        <f t="shared" si="21"/>
        <v>3</v>
      </c>
      <c r="BK14" s="12">
        <f t="shared" si="22"/>
        <v>4</v>
      </c>
      <c r="BL14" s="12">
        <f t="shared" si="23"/>
        <v>7</v>
      </c>
      <c r="BM14" s="7">
        <f t="shared" si="24"/>
        <v>160000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63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25"/>
        <v>12</v>
      </c>
      <c r="CH14" s="2" t="str">
        <f t="shared" si="26"/>
        <v>Lineman Elf Journeyman</v>
      </c>
      <c r="CI14" s="35" t="str">
        <f>HLOOKUP(K$24,CL$4:DJ$23,12,FALSE)</f>
        <v>Lineman Elf Journeyman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63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 t="s">
        <v>842</v>
      </c>
      <c r="E15" s="43" t="str">
        <f t="shared" si="0"/>
        <v>Blitzer Elf</v>
      </c>
      <c r="F15" s="49">
        <f t="shared" si="1"/>
        <v>7</v>
      </c>
      <c r="G15" s="49">
        <f t="shared" si="2"/>
        <v>3</v>
      </c>
      <c r="H15" s="49">
        <f t="shared" si="3"/>
        <v>4</v>
      </c>
      <c r="I15" s="49">
        <f t="shared" si="4"/>
        <v>8</v>
      </c>
      <c r="J15" s="45" t="str">
        <f>IF(E15="","",IF(COUNTIF(E5:E20,E15)&gt;VLOOKUP(E15,BP:BY,10,FALSE),"ERRORE! TROPPI GIOCATORI IN QUESTO RUOLO!",VLOOKUP(E15,BP:BV,6,FALSE)))</f>
        <v>Block, Side Step</v>
      </c>
      <c r="K15" s="204" t="str">
        <f t="shared" si="28"/>
        <v>Dodge</v>
      </c>
      <c r="L15" s="47" t="str">
        <f t="shared" si="5"/>
        <v>GA</v>
      </c>
      <c r="M15" s="47" t="str">
        <f t="shared" si="6"/>
        <v>SP</v>
      </c>
      <c r="N15" s="120"/>
      <c r="O15" s="120"/>
      <c r="P15" s="119"/>
      <c r="Q15" s="119"/>
      <c r="R15" s="119"/>
      <c r="S15" s="119"/>
      <c r="T15" s="123">
        <v>6</v>
      </c>
      <c r="U15" s="123"/>
      <c r="V15" s="123"/>
      <c r="W15" s="123">
        <v>1</v>
      </c>
      <c r="X15" s="123"/>
      <c r="Y15" s="123"/>
      <c r="Z15" s="98">
        <f t="shared" si="7"/>
        <v>9</v>
      </c>
      <c r="AA15" s="52" t="str">
        <f t="shared" si="8"/>
        <v>1</v>
      </c>
      <c r="AB15" s="247">
        <f t="shared" si="29"/>
        <v>20</v>
      </c>
      <c r="AC15" s="128">
        <f t="shared" si="30"/>
      </c>
      <c r="AD15" s="129">
        <f t="shared" si="9"/>
        <v>130000</v>
      </c>
      <c r="AE15" s="80"/>
      <c r="AF15" s="1"/>
      <c r="AG15" s="214" t="str">
        <f t="shared" si="31"/>
        <v>Dodge</v>
      </c>
      <c r="AH15" s="215">
        <f t="shared" si="10"/>
      </c>
      <c r="AI15" s="215">
        <f t="shared" si="11"/>
      </c>
      <c r="AJ15" s="215">
        <f t="shared" si="12"/>
      </c>
      <c r="AK15" s="215">
        <f t="shared" si="13"/>
      </c>
      <c r="AL15" s="216">
        <f t="shared" si="14"/>
      </c>
      <c r="AM15" s="199"/>
      <c r="AN15" s="199"/>
      <c r="AO15" s="206">
        <f t="shared" si="32"/>
        <v>0</v>
      </c>
      <c r="AP15" s="207">
        <f t="shared" si="33"/>
        <v>0</v>
      </c>
      <c r="AQ15" s="207">
        <f t="shared" si="34"/>
        <v>0</v>
      </c>
      <c r="AR15" s="208">
        <f t="shared" si="35"/>
        <v>0</v>
      </c>
      <c r="AS15" s="199"/>
      <c r="AT15" s="209">
        <v>21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 t="str">
        <f t="shared" si="36"/>
        <v>Dodge</v>
      </c>
      <c r="BB15" s="224">
        <f t="shared" si="15"/>
      </c>
      <c r="BC15" s="224">
        <f t="shared" si="16"/>
      </c>
      <c r="BD15" s="224">
        <f t="shared" si="17"/>
      </c>
      <c r="BE15" s="224">
        <f t="shared" si="18"/>
      </c>
      <c r="BF15" s="225">
        <f t="shared" si="19"/>
      </c>
      <c r="BG15" s="199"/>
      <c r="BH15" s="16">
        <v>5</v>
      </c>
      <c r="BI15" s="12">
        <f t="shared" si="20"/>
        <v>7</v>
      </c>
      <c r="BJ15" s="12">
        <f t="shared" si="21"/>
        <v>3</v>
      </c>
      <c r="BK15" s="12">
        <f t="shared" si="22"/>
        <v>4</v>
      </c>
      <c r="BL15" s="12">
        <f t="shared" si="23"/>
        <v>8</v>
      </c>
      <c r="BM15" s="7">
        <f t="shared" si="24"/>
        <v>130000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58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25"/>
        <v>13</v>
      </c>
      <c r="CH15" s="2" t="str">
        <f t="shared" si="26"/>
        <v>**Alahel  "oak" Qwellinir </v>
      </c>
      <c r="CI15" s="35" t="str">
        <f>HLOOKUP(K$24,CL$4:DJ$23,13,FALSE)</f>
        <v>**Alahel  "oak" Qwellinir 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58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/>
      <c r="E16" s="43" t="str">
        <f t="shared" si="0"/>
        <v>Catcher Elf</v>
      </c>
      <c r="F16" s="49">
        <f t="shared" si="1"/>
        <v>8</v>
      </c>
      <c r="G16" s="49">
        <f t="shared" si="2"/>
        <v>3</v>
      </c>
      <c r="H16" s="49">
        <f t="shared" si="3"/>
        <v>4</v>
      </c>
      <c r="I16" s="49">
        <f t="shared" si="4"/>
        <v>7</v>
      </c>
      <c r="J16" s="45" t="str">
        <f>IF(E16="","",IF(COUNTIF(E5:E20,E16)&gt;VLOOKUP(E16,BP:BY,10,FALSE),"ERRORE! TROPPI GIOCATORI IN QUESTO RUOLO!",VLOOKUP(E16,BP:BV,6,FALSE)))</f>
        <v>Catch, Nerves of Steel</v>
      </c>
      <c r="K16" s="204" t="str">
        <f t="shared" si="28"/>
        <v>Wrestle, Strip Ball</v>
      </c>
      <c r="L16" s="47" t="str">
        <f t="shared" si="5"/>
        <v>GA</v>
      </c>
      <c r="M16" s="47" t="str">
        <f t="shared" si="6"/>
        <v>SP</v>
      </c>
      <c r="N16" s="120"/>
      <c r="O16" s="120"/>
      <c r="P16" s="119"/>
      <c r="Q16" s="119"/>
      <c r="R16" s="119"/>
      <c r="S16" s="119"/>
      <c r="T16" s="123"/>
      <c r="U16" s="123"/>
      <c r="V16" s="123">
        <v>1</v>
      </c>
      <c r="W16" s="123">
        <v>5</v>
      </c>
      <c r="X16" s="123"/>
      <c r="Y16" s="123">
        <v>1</v>
      </c>
      <c r="Z16" s="98">
        <f t="shared" si="7"/>
        <v>21</v>
      </c>
      <c r="AA16" s="52" t="str">
        <f t="shared" si="8"/>
        <v>2</v>
      </c>
      <c r="AB16" s="247">
        <f t="shared" si="29"/>
        <v>40</v>
      </c>
      <c r="AC16" s="128">
        <f t="shared" si="30"/>
      </c>
      <c r="AD16" s="129">
        <f t="shared" si="9"/>
        <v>140000</v>
      </c>
      <c r="AE16" s="80"/>
      <c r="AF16" s="1"/>
      <c r="AG16" s="214" t="str">
        <f t="shared" si="31"/>
        <v>Wrestle</v>
      </c>
      <c r="AH16" s="215" t="str">
        <f t="shared" si="10"/>
        <v>, Strip Ball</v>
      </c>
      <c r="AI16" s="215">
        <f t="shared" si="11"/>
      </c>
      <c r="AJ16" s="215">
        <f t="shared" si="12"/>
      </c>
      <c r="AK16" s="215">
        <f t="shared" si="13"/>
      </c>
      <c r="AL16" s="216">
        <f t="shared" si="14"/>
      </c>
      <c r="AM16" s="199"/>
      <c r="AN16" s="199"/>
      <c r="AO16" s="206">
        <f t="shared" si="32"/>
        <v>0</v>
      </c>
      <c r="AP16" s="207">
        <f t="shared" si="33"/>
        <v>0</v>
      </c>
      <c r="AQ16" s="207">
        <f t="shared" si="34"/>
        <v>0</v>
      </c>
      <c r="AR16" s="208">
        <f t="shared" si="35"/>
        <v>0</v>
      </c>
      <c r="AS16" s="199"/>
      <c r="AT16" s="209">
        <v>16</v>
      </c>
      <c r="AU16" s="205">
        <v>13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 t="str">
        <f t="shared" si="36"/>
        <v>Wrestle</v>
      </c>
      <c r="BB16" s="224" t="str">
        <f t="shared" si="15"/>
        <v>Strip Ball</v>
      </c>
      <c r="BC16" s="224">
        <f t="shared" si="16"/>
      </c>
      <c r="BD16" s="224">
        <f t="shared" si="17"/>
      </c>
      <c r="BE16" s="224">
        <f t="shared" si="18"/>
      </c>
      <c r="BF16" s="225">
        <f t="shared" si="19"/>
      </c>
      <c r="BG16" s="199"/>
      <c r="BH16" s="16">
        <v>4</v>
      </c>
      <c r="BI16" s="12">
        <f t="shared" si="20"/>
        <v>8</v>
      </c>
      <c r="BJ16" s="12">
        <f t="shared" si="21"/>
        <v>3</v>
      </c>
      <c r="BK16" s="12">
        <f t="shared" si="22"/>
        <v>4</v>
      </c>
      <c r="BL16" s="12">
        <f t="shared" si="23"/>
        <v>7</v>
      </c>
      <c r="BM16" s="7">
        <f t="shared" si="24"/>
        <v>140000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59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25"/>
        <v>14</v>
      </c>
      <c r="CH16" s="2" t="str">
        <f t="shared" si="26"/>
        <v>**Allanon</v>
      </c>
      <c r="CI16" s="35" t="str">
        <f>HLOOKUP(K$24,CL$4:DJ$23,14,FALSE)</f>
        <v>**Allanon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5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/>
      <c r="E17" s="43">
        <f t="shared" si="0"/>
      </c>
      <c r="F17" s="49">
        <f t="shared" si="1"/>
      </c>
      <c r="G17" s="49">
        <f t="shared" si="2"/>
      </c>
      <c r="H17" s="49">
        <f t="shared" si="3"/>
      </c>
      <c r="I17" s="49">
        <f t="shared" si="4"/>
      </c>
      <c r="J17" s="45">
        <f>IF(E17="","",IF(COUNTIF(E5:E20,E17)&gt;VLOOKUP(E17,BP:BY,10,FALSE),"ERRORE! TROPPI GIOCATORI IN QUESTO RUOLO!",VLOOKUP(E17,BP:BV,6,FALSE)))</f>
      </c>
      <c r="K17" s="204">
        <f t="shared" si="28"/>
      </c>
      <c r="L17" s="47">
        <f t="shared" si="5"/>
      </c>
      <c r="M17" s="47">
        <f t="shared" si="6"/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/>
      <c r="Y17" s="123"/>
      <c r="Z17" s="98">
        <f t="shared" si="7"/>
        <v>0</v>
      </c>
      <c r="AA17" s="52">
        <f t="shared" si="8"/>
      </c>
      <c r="AB17" s="247">
        <f t="shared" si="29"/>
        <v>0</v>
      </c>
      <c r="AC17" s="128">
        <f t="shared" si="30"/>
      </c>
      <c r="AD17" s="129">
        <f t="shared" si="9"/>
        <v>0</v>
      </c>
      <c r="AE17" s="80"/>
      <c r="AF17" s="1"/>
      <c r="AG17" s="214">
        <f t="shared" si="31"/>
      </c>
      <c r="AH17" s="215">
        <f t="shared" si="10"/>
      </c>
      <c r="AI17" s="215">
        <f t="shared" si="11"/>
      </c>
      <c r="AJ17" s="215">
        <f t="shared" si="12"/>
      </c>
      <c r="AK17" s="215">
        <f t="shared" si="13"/>
      </c>
      <c r="AL17" s="216">
        <f t="shared" si="14"/>
      </c>
      <c r="AM17" s="199"/>
      <c r="AN17" s="199"/>
      <c r="AO17" s="206">
        <f t="shared" si="32"/>
        <v>0</v>
      </c>
      <c r="AP17" s="207">
        <f t="shared" si="33"/>
        <v>0</v>
      </c>
      <c r="AQ17" s="207">
        <f t="shared" si="34"/>
        <v>0</v>
      </c>
      <c r="AR17" s="208">
        <f t="shared" si="35"/>
        <v>0</v>
      </c>
      <c r="AS17" s="199"/>
      <c r="AT17" s="209">
        <v>1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>
        <f t="shared" si="36"/>
      </c>
      <c r="BB17" s="224">
        <f t="shared" si="15"/>
      </c>
      <c r="BC17" s="224">
        <f t="shared" si="16"/>
      </c>
      <c r="BD17" s="224">
        <f t="shared" si="17"/>
      </c>
      <c r="BE17" s="224">
        <f t="shared" si="18"/>
      </c>
      <c r="BF17" s="225">
        <f t="shared" si="19"/>
      </c>
      <c r="BG17" s="199"/>
      <c r="BH17" s="16">
        <v>1</v>
      </c>
      <c r="BI17" s="12" t="e">
        <f t="shared" si="20"/>
        <v>#N/A</v>
      </c>
      <c r="BJ17" s="12" t="e">
        <f t="shared" si="21"/>
        <v>#N/A</v>
      </c>
      <c r="BK17" s="12" t="e">
        <f t="shared" si="22"/>
        <v>#N/A</v>
      </c>
      <c r="BL17" s="12" t="e">
        <f t="shared" si="23"/>
        <v>#N/A</v>
      </c>
      <c r="BM17" s="7">
        <f t="shared" si="24"/>
        <v>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59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25"/>
        <v>15</v>
      </c>
      <c r="CH17" s="2" t="str">
        <f t="shared" si="26"/>
        <v>**Bollicina</v>
      </c>
      <c r="CI17" s="35" t="str">
        <f>HLOOKUP(K$24,CL$4:DJ$23,15,FALSE)</f>
        <v>**Bollicina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5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/>
      <c r="E18" s="43">
        <f t="shared" si="0"/>
      </c>
      <c r="F18" s="49">
        <f t="shared" si="1"/>
      </c>
      <c r="G18" s="49">
        <f t="shared" si="2"/>
      </c>
      <c r="H18" s="49">
        <f t="shared" si="3"/>
      </c>
      <c r="I18" s="49">
        <f t="shared" si="4"/>
      </c>
      <c r="J18" s="45">
        <f>IF(E18="","",IF(COUNTIF(E5:E20,E18)&gt;VLOOKUP(E18,BP:BY,10,FALSE),"ERRORE! TROPPI GIOCATORI IN QUESTO RUOLO!",VLOOKUP(E18,BP:BV,6,FALSE)))</f>
      </c>
      <c r="K18" s="204">
        <f t="shared" si="28"/>
      </c>
      <c r="L18" s="47">
        <f t="shared" si="5"/>
      </c>
      <c r="M18" s="47">
        <f t="shared" si="6"/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7"/>
        <v>0</v>
      </c>
      <c r="AA18" s="52">
        <f t="shared" si="8"/>
      </c>
      <c r="AB18" s="247">
        <f t="shared" si="29"/>
        <v>0</v>
      </c>
      <c r="AC18" s="128">
        <f t="shared" si="30"/>
      </c>
      <c r="AD18" s="129">
        <f t="shared" si="9"/>
        <v>0</v>
      </c>
      <c r="AE18" s="80"/>
      <c r="AF18" s="1"/>
      <c r="AG18" s="214">
        <f t="shared" si="31"/>
      </c>
      <c r="AH18" s="215">
        <f t="shared" si="10"/>
      </c>
      <c r="AI18" s="215">
        <f t="shared" si="11"/>
      </c>
      <c r="AJ18" s="215">
        <f t="shared" si="12"/>
      </c>
      <c r="AK18" s="215">
        <f t="shared" si="13"/>
      </c>
      <c r="AL18" s="216">
        <f t="shared" si="14"/>
      </c>
      <c r="AM18" s="199"/>
      <c r="AN18" s="199"/>
      <c r="AO18" s="206">
        <f t="shared" si="32"/>
        <v>0</v>
      </c>
      <c r="AP18" s="207">
        <f t="shared" si="33"/>
        <v>0</v>
      </c>
      <c r="AQ18" s="207">
        <f t="shared" si="34"/>
        <v>0</v>
      </c>
      <c r="AR18" s="208">
        <f t="shared" si="35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36"/>
      </c>
      <c r="BB18" s="224">
        <f t="shared" si="15"/>
      </c>
      <c r="BC18" s="224">
        <f t="shared" si="16"/>
      </c>
      <c r="BD18" s="224">
        <f t="shared" si="17"/>
      </c>
      <c r="BE18" s="224">
        <f t="shared" si="18"/>
      </c>
      <c r="BF18" s="225">
        <f t="shared" si="19"/>
      </c>
      <c r="BG18" s="199"/>
      <c r="BH18" s="16">
        <v>1</v>
      </c>
      <c r="BI18" s="12" t="e">
        <f t="shared" si="20"/>
        <v>#N/A</v>
      </c>
      <c r="BJ18" s="12" t="e">
        <f t="shared" si="21"/>
        <v>#N/A</v>
      </c>
      <c r="BK18" s="12" t="e">
        <f t="shared" si="22"/>
        <v>#N/A</v>
      </c>
      <c r="BL18" s="12" t="e">
        <f t="shared" si="23"/>
        <v>#N/A</v>
      </c>
      <c r="BM18" s="7">
        <f t="shared" si="24"/>
        <v>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59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25"/>
        <v>16</v>
      </c>
      <c r="CH18" s="2" t="str">
        <f t="shared" si="26"/>
        <v>**Ciuffino</v>
      </c>
      <c r="CI18" s="35" t="str">
        <f>HLOOKUP(K$24,CL$4:DJ$23,16,FALSE)</f>
        <v>**Ciuffino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5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>
        <f t="shared" si="0"/>
      </c>
      <c r="F19" s="49">
        <f t="shared" si="1"/>
      </c>
      <c r="G19" s="49">
        <f t="shared" si="2"/>
      </c>
      <c r="H19" s="49">
        <f t="shared" si="3"/>
      </c>
      <c r="I19" s="49">
        <f t="shared" si="4"/>
      </c>
      <c r="J19" s="45">
        <f>IF(E19="","",IF(COUNTIF(E5:E20,E19)&gt;VLOOKUP(E19,BP:BY,10,FALSE),"ERRORE! TROPPI GIOCATORI IN QUESTO RUOLO!",VLOOKUP(E19,BP:BV,6,FALSE)))</f>
      </c>
      <c r="K19" s="204">
        <f t="shared" si="28"/>
      </c>
      <c r="L19" s="47">
        <f t="shared" si="5"/>
      </c>
      <c r="M19" s="47">
        <f t="shared" si="6"/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7"/>
        <v>0</v>
      </c>
      <c r="AA19" s="52">
        <f t="shared" si="8"/>
      </c>
      <c r="AB19" s="247">
        <f t="shared" si="29"/>
        <v>0</v>
      </c>
      <c r="AC19" s="128">
        <f t="shared" si="30"/>
      </c>
      <c r="AD19" s="129">
        <f t="shared" si="9"/>
        <v>0</v>
      </c>
      <c r="AE19" s="80"/>
      <c r="AF19" s="1"/>
      <c r="AG19" s="214">
        <f t="shared" si="31"/>
      </c>
      <c r="AH19" s="215">
        <f t="shared" si="10"/>
      </c>
      <c r="AI19" s="215">
        <f t="shared" si="11"/>
      </c>
      <c r="AJ19" s="215">
        <f t="shared" si="12"/>
      </c>
      <c r="AK19" s="215">
        <f t="shared" si="13"/>
      </c>
      <c r="AL19" s="216">
        <f t="shared" si="14"/>
      </c>
      <c r="AM19" s="199"/>
      <c r="AN19" s="199"/>
      <c r="AO19" s="206">
        <f t="shared" si="32"/>
        <v>0</v>
      </c>
      <c r="AP19" s="207">
        <f t="shared" si="33"/>
        <v>0</v>
      </c>
      <c r="AQ19" s="207">
        <f t="shared" si="34"/>
        <v>0</v>
      </c>
      <c r="AR19" s="208">
        <f t="shared" si="35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36"/>
      </c>
      <c r="BB19" s="224">
        <f t="shared" si="15"/>
      </c>
      <c r="BC19" s="224">
        <f t="shared" si="16"/>
      </c>
      <c r="BD19" s="224">
        <f t="shared" si="17"/>
      </c>
      <c r="BE19" s="224">
        <f t="shared" si="18"/>
      </c>
      <c r="BF19" s="225">
        <f t="shared" si="19"/>
      </c>
      <c r="BG19" s="199"/>
      <c r="BH19" s="16">
        <v>1</v>
      </c>
      <c r="BI19" s="12" t="e">
        <f t="shared" si="20"/>
        <v>#N/A</v>
      </c>
      <c r="BJ19" s="12" t="e">
        <f t="shared" si="21"/>
        <v>#N/A</v>
      </c>
      <c r="BK19" s="12" t="e">
        <f t="shared" si="22"/>
        <v>#N/A</v>
      </c>
      <c r="BL19" s="12" t="e">
        <f t="shared" si="23"/>
        <v>#N/A</v>
      </c>
      <c r="BM19" s="7">
        <f t="shared" si="24"/>
        <v>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59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25"/>
        <v>17</v>
      </c>
      <c r="CH19" s="2" t="str">
        <f t="shared" si="26"/>
        <v>**Super Stellino</v>
      </c>
      <c r="CI19" s="35" t="str">
        <f>HLOOKUP(K$24,CL$4:DJ$23,17,FALSE)</f>
        <v>**Super Stellino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5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/>
      <c r="E20" s="54">
        <f t="shared" si="0"/>
      </c>
      <c r="F20" s="49">
        <f t="shared" si="1"/>
      </c>
      <c r="G20" s="49">
        <f t="shared" si="2"/>
      </c>
      <c r="H20" s="49">
        <f t="shared" si="3"/>
      </c>
      <c r="I20" s="49">
        <f t="shared" si="4"/>
      </c>
      <c r="J20" s="96">
        <f>IF(E20="","",IF(COUNTIF(E5:E20,E20)&gt;VLOOKUP(E20,BP:BY,10,FALSE),"ERRORE! TROPPI GIOCATORI IN QUESTO RUOLO!",VLOOKUP(E20,BP:BV,6,FALSE)))</f>
      </c>
      <c r="K20" s="204">
        <f t="shared" si="28"/>
      </c>
      <c r="L20" s="97">
        <f t="shared" si="5"/>
      </c>
      <c r="M20" s="97">
        <f t="shared" si="6"/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7"/>
        <v>0</v>
      </c>
      <c r="AA20" s="52">
        <f t="shared" si="8"/>
      </c>
      <c r="AB20" s="247">
        <f t="shared" si="29"/>
        <v>0</v>
      </c>
      <c r="AC20" s="128">
        <f t="shared" si="30"/>
      </c>
      <c r="AD20" s="129">
        <f t="shared" si="9"/>
        <v>0</v>
      </c>
      <c r="AE20" s="80"/>
      <c r="AF20" s="1"/>
      <c r="AG20" s="217">
        <f t="shared" si="31"/>
      </c>
      <c r="AH20" s="218">
        <f t="shared" si="10"/>
      </c>
      <c r="AI20" s="218">
        <f t="shared" si="11"/>
      </c>
      <c r="AJ20" s="218">
        <f t="shared" si="12"/>
      </c>
      <c r="AK20" s="218">
        <f t="shared" si="13"/>
      </c>
      <c r="AL20" s="219">
        <f t="shared" si="14"/>
      </c>
      <c r="AM20" s="199"/>
      <c r="AN20" s="199"/>
      <c r="AO20" s="211">
        <f t="shared" si="32"/>
        <v>0</v>
      </c>
      <c r="AP20" s="212">
        <f t="shared" si="33"/>
        <v>0</v>
      </c>
      <c r="AQ20" s="212">
        <f t="shared" si="34"/>
        <v>0</v>
      </c>
      <c r="AR20" s="213">
        <f t="shared" si="35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36"/>
      </c>
      <c r="BB20" s="227">
        <f t="shared" si="15"/>
      </c>
      <c r="BC20" s="227">
        <f t="shared" si="16"/>
      </c>
      <c r="BD20" s="227">
        <f t="shared" si="17"/>
      </c>
      <c r="BE20" s="227">
        <f t="shared" si="18"/>
      </c>
      <c r="BF20" s="228">
        <f t="shared" si="19"/>
      </c>
      <c r="BG20" s="199"/>
      <c r="BH20" s="16">
        <v>1</v>
      </c>
      <c r="BI20" s="12" t="e">
        <f t="shared" si="20"/>
        <v>#N/A</v>
      </c>
      <c r="BJ20" s="12" t="e">
        <f t="shared" si="21"/>
        <v>#N/A</v>
      </c>
      <c r="BK20" s="12" t="e">
        <f t="shared" si="22"/>
        <v>#N/A</v>
      </c>
      <c r="BL20" s="12" t="e">
        <f t="shared" si="23"/>
        <v>#N/A</v>
      </c>
      <c r="BM20" s="7">
        <f t="shared" si="24"/>
        <v>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59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25"/>
        <v>18</v>
      </c>
      <c r="CH20" s="2" t="str">
        <f t="shared" si="26"/>
        <v>**Gambetta Vieinà</v>
      </c>
      <c r="CI20" s="35" t="str">
        <f>HLOOKUP(K$24,CL$4:DJ$23,18,FALSE)</f>
        <v>**Gambetta Vieinà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5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82" t="s">
        <v>180</v>
      </c>
      <c r="D21" s="283"/>
      <c r="E21" s="282" t="s">
        <v>208</v>
      </c>
      <c r="F21" s="286"/>
      <c r="G21" s="286"/>
      <c r="H21" s="286"/>
      <c r="I21" s="283"/>
      <c r="J21" s="93" t="s">
        <v>64</v>
      </c>
      <c r="K21" s="130">
        <f>ROUNDDOWN((AC28/10000),0)+ROUNDDOWN((SUM(Z5:Z20)/5),0)</f>
        <v>202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4">
        <f>SUM(AD5:AD20)</f>
        <v>1390000</v>
      </c>
      <c r="AD21" s="265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60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  <v>19</v>
      </c>
      <c r="CH21" s="2" t="str">
        <f t="shared" si="26"/>
        <v>**Raidel Taiyo </v>
      </c>
      <c r="CI21" s="35" t="str">
        <f>HLOOKUP(K$24,CL$4:DJ$23,19,FALSE)</f>
        <v>**Raidel Taiyo 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60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84"/>
      <c r="D22" s="285"/>
      <c r="E22" s="272" t="s">
        <v>205</v>
      </c>
      <c r="F22" s="273"/>
      <c r="G22" s="273"/>
      <c r="H22" s="273"/>
      <c r="I22" s="273"/>
      <c r="J22" s="99" t="s">
        <v>220</v>
      </c>
      <c r="K22" s="131" t="s">
        <v>843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3</v>
      </c>
      <c r="W22" s="101" t="s">
        <v>62</v>
      </c>
      <c r="X22" s="280">
        <f>IF(K24&lt;&gt;"",VLOOKUP(K24,CB4:CC28,2,FALSE),0)</f>
        <v>50000</v>
      </c>
      <c r="Y22" s="280"/>
      <c r="Z22" s="280"/>
      <c r="AA22" s="280"/>
      <c r="AB22" s="103" t="s">
        <v>745</v>
      </c>
      <c r="AC22" s="268">
        <f>V22*X22</f>
        <v>150000</v>
      </c>
      <c r="AD22" s="269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37" ref="AT22:AY22">IF(AT5=59,1,(IF(AT5=60,4,(IF(AT5=61,3,(IF(AT5=62,2,0)))))))</f>
        <v>0</v>
      </c>
      <c r="AU22" s="250">
        <f t="shared" si="37"/>
        <v>0</v>
      </c>
      <c r="AV22" s="250">
        <f t="shared" si="37"/>
        <v>0</v>
      </c>
      <c r="AW22" s="250">
        <f t="shared" si="37"/>
        <v>0</v>
      </c>
      <c r="AX22" s="250">
        <f t="shared" si="37"/>
        <v>0</v>
      </c>
      <c r="AY22" s="251">
        <f t="shared" si="37"/>
        <v>0</v>
      </c>
      <c r="AZ22" s="13"/>
      <c r="BA22" s="229" t="str">
        <f aca="true" t="shared" si="38" ref="BA22:BF22">(IF(BA5&lt;&gt;"",VLOOKUP(BA5,$AH$43:$AI$104,2,FALSE),"0"))</f>
        <v>Agility</v>
      </c>
      <c r="BB22" s="230" t="str">
        <f t="shared" si="38"/>
        <v>General</v>
      </c>
      <c r="BC22" s="230" t="str">
        <f t="shared" si="38"/>
        <v>0</v>
      </c>
      <c r="BD22" s="230" t="str">
        <f t="shared" si="38"/>
        <v>0</v>
      </c>
      <c r="BE22" s="230" t="str">
        <f t="shared" si="38"/>
        <v>0</v>
      </c>
      <c r="BF22" s="231" t="str">
        <f t="shared" si="38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55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25"/>
      </c>
      <c r="CH22" s="2">
        <f t="shared" si="26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55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74"/>
      <c r="D23" s="275"/>
      <c r="E23" s="272" t="s">
        <v>206</v>
      </c>
      <c r="F23" s="273"/>
      <c r="G23" s="273"/>
      <c r="H23" s="273"/>
      <c r="I23" s="273"/>
      <c r="J23" s="94" t="s">
        <v>39</v>
      </c>
      <c r="K23" s="131" t="s">
        <v>844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7</v>
      </c>
      <c r="W23" s="102" t="s">
        <v>62</v>
      </c>
      <c r="X23" s="281">
        <v>10000</v>
      </c>
      <c r="Y23" s="281"/>
      <c r="Z23" s="281"/>
      <c r="AA23" s="281"/>
      <c r="AB23" s="104" t="s">
        <v>745</v>
      </c>
      <c r="AC23" s="266">
        <f>V23*X23</f>
        <v>70000</v>
      </c>
      <c r="AD23" s="267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39" ref="AT23:AY23">IF(AT6=59,1,(IF(AT6=60,4,(IF(AT6=61,3,(IF(AT6=62,2,0)))))))</f>
        <v>0</v>
      </c>
      <c r="AU23" s="250">
        <f t="shared" si="39"/>
        <v>0</v>
      </c>
      <c r="AV23" s="250">
        <f t="shared" si="39"/>
        <v>0</v>
      </c>
      <c r="AW23" s="250">
        <f t="shared" si="39"/>
        <v>0</v>
      </c>
      <c r="AX23" s="250">
        <f t="shared" si="39"/>
        <v>0</v>
      </c>
      <c r="AY23" s="251">
        <f t="shared" si="39"/>
        <v>0</v>
      </c>
      <c r="AZ23" s="13"/>
      <c r="BA23" s="232" t="str">
        <f aca="true" t="shared" si="40" ref="BA23:BF23">(IF(BA6&lt;&gt;"",VLOOKUP(BA6,$AH$43:$AI$104,2,FALSE),"0"))</f>
        <v>General</v>
      </c>
      <c r="BB23" s="233" t="str">
        <f t="shared" si="40"/>
        <v>General</v>
      </c>
      <c r="BC23" s="233" t="str">
        <f t="shared" si="40"/>
        <v>Strength</v>
      </c>
      <c r="BD23" s="233" t="str">
        <f t="shared" si="40"/>
        <v>0</v>
      </c>
      <c r="BE23" s="233" t="str">
        <f t="shared" si="40"/>
        <v>0</v>
      </c>
      <c r="BF23" s="234" t="str">
        <f t="shared" si="40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56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56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74"/>
      <c r="D24" s="275"/>
      <c r="E24" s="272" t="s">
        <v>281</v>
      </c>
      <c r="F24" s="273"/>
      <c r="G24" s="273"/>
      <c r="H24" s="273"/>
      <c r="I24" s="273"/>
      <c r="J24" s="94" t="s">
        <v>13</v>
      </c>
      <c r="K24" s="132" t="str">
        <f>VLOOKUP(BI24,CA4:CB28,2,FALSE)</f>
        <v>Elf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0</v>
      </c>
      <c r="W24" s="102" t="s">
        <v>62</v>
      </c>
      <c r="X24" s="281">
        <v>10000</v>
      </c>
      <c r="Y24" s="281"/>
      <c r="Z24" s="281"/>
      <c r="AA24" s="281"/>
      <c r="AB24" s="104" t="s">
        <v>745</v>
      </c>
      <c r="AC24" s="266">
        <f>V24*X24</f>
        <v>0</v>
      </c>
      <c r="AD24" s="267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41" ref="AT24:AY24">IF(AT7=59,1,(IF(AT7=60,4,(IF(AT7=61,3,(IF(AT7=62,2,0)))))))</f>
        <v>0</v>
      </c>
      <c r="AU24" s="250">
        <f t="shared" si="41"/>
        <v>0</v>
      </c>
      <c r="AV24" s="250">
        <f t="shared" si="41"/>
        <v>0</v>
      </c>
      <c r="AW24" s="250">
        <f t="shared" si="41"/>
        <v>0</v>
      </c>
      <c r="AX24" s="250">
        <f t="shared" si="41"/>
        <v>0</v>
      </c>
      <c r="AY24" s="251">
        <f t="shared" si="41"/>
        <v>0</v>
      </c>
      <c r="AZ24" s="13"/>
      <c r="BA24" s="232" t="str">
        <f aca="true" t="shared" si="42" ref="BA24:BF24">(IF(BA7&lt;&gt;"",VLOOKUP(BA7,$AH$43:$AI$104,2,FALSE),"0"))</f>
        <v>General</v>
      </c>
      <c r="BB24" s="233" t="str">
        <f t="shared" si="42"/>
        <v>0</v>
      </c>
      <c r="BC24" s="233" t="str">
        <f t="shared" si="42"/>
        <v>0</v>
      </c>
      <c r="BD24" s="233" t="str">
        <f t="shared" si="42"/>
        <v>0</v>
      </c>
      <c r="BE24" s="233" t="str">
        <f t="shared" si="42"/>
        <v>0</v>
      </c>
      <c r="BF24" s="234" t="str">
        <f t="shared" si="42"/>
        <v>0</v>
      </c>
      <c r="BG24" s="13"/>
      <c r="BH24" s="1"/>
      <c r="BI24" s="16">
        <v>8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56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56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74"/>
      <c r="D25" s="275"/>
      <c r="E25" s="272" t="s">
        <v>280</v>
      </c>
      <c r="F25" s="273"/>
      <c r="G25" s="273"/>
      <c r="H25" s="273"/>
      <c r="I25" s="273"/>
      <c r="J25" s="95" t="s">
        <v>56</v>
      </c>
      <c r="K25" s="133" t="s">
        <v>845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0</v>
      </c>
      <c r="W25" s="102" t="s">
        <v>62</v>
      </c>
      <c r="X25" s="281">
        <v>10000</v>
      </c>
      <c r="Y25" s="281"/>
      <c r="Z25" s="281"/>
      <c r="AA25" s="281"/>
      <c r="AB25" s="104" t="s">
        <v>745</v>
      </c>
      <c r="AC25" s="266">
        <f>V25*X25</f>
        <v>0</v>
      </c>
      <c r="AD25" s="267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43" ref="AT25:AY25">IF(AT8=59,1,(IF(AT8=60,4,(IF(AT8=61,3,(IF(AT8=62,2,0)))))))</f>
        <v>0</v>
      </c>
      <c r="AU25" s="250">
        <f t="shared" si="43"/>
        <v>0</v>
      </c>
      <c r="AV25" s="250">
        <f t="shared" si="43"/>
        <v>0</v>
      </c>
      <c r="AW25" s="250">
        <f t="shared" si="43"/>
        <v>0</v>
      </c>
      <c r="AX25" s="250">
        <f t="shared" si="43"/>
        <v>0</v>
      </c>
      <c r="AY25" s="251">
        <f t="shared" si="43"/>
        <v>0</v>
      </c>
      <c r="AZ25" s="13"/>
      <c r="BA25" s="232" t="str">
        <f aca="true" t="shared" si="44" ref="BA25:BF25">(IF(BA8&lt;&gt;"",VLOOKUP(BA8,$AH$43:$AI$104,2,FALSE),"0"))</f>
        <v>0</v>
      </c>
      <c r="BB25" s="233" t="str">
        <f t="shared" si="44"/>
        <v>0</v>
      </c>
      <c r="BC25" s="233" t="str">
        <f t="shared" si="44"/>
        <v>0</v>
      </c>
      <c r="BD25" s="233" t="str">
        <f t="shared" si="44"/>
        <v>0</v>
      </c>
      <c r="BE25" s="233" t="str">
        <f t="shared" si="44"/>
        <v>0</v>
      </c>
      <c r="BF25" s="234" t="str">
        <f t="shared" si="44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56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56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74"/>
      <c r="D26" s="275"/>
      <c r="E26" s="272" t="s">
        <v>279</v>
      </c>
      <c r="F26" s="273"/>
      <c r="G26" s="273"/>
      <c r="H26" s="273"/>
      <c r="I26" s="27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IF(IF(K24&lt;&gt;"",VLOOKUP(K24,CD4:CE28,2,FALSE),0)=1,"APOTECARIO","")</f>
        <v>APOTECARIO</v>
      </c>
      <c r="V26" s="30">
        <v>1</v>
      </c>
      <c r="W26" s="102" t="str">
        <f>IF(IF(K24&lt;&gt;"",VLOOKUP(K24,CD4:CE28,2,FALSE),0)=1,"x","")</f>
        <v>x</v>
      </c>
      <c r="X26" s="281" t="str">
        <f>IF(IF(K24&lt;&gt;"",VLOOKUP(K24,CD4:CE28,2,FALSE),0)=1,"50000","")</f>
        <v>50000</v>
      </c>
      <c r="Y26" s="281"/>
      <c r="Z26" s="281"/>
      <c r="AA26" s="281"/>
      <c r="AB26" s="104" t="str">
        <f>IF(K24="Undead","",(IF(K24="Necromantic","",(IF(K24="Khemri","",(IF(K24="Nurgle","","gp")))))))</f>
        <v>gp</v>
      </c>
      <c r="AC26" s="266">
        <f>IF(K24="Undead",0,(IF(K24="Necromantic",0,(IF(K24="Khemri",0,(IF(K24="Nurgle",0,(IF(V26&lt;&gt;1,0,50000)))))))))</f>
        <v>50000</v>
      </c>
      <c r="AD26" s="267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45" ref="AT26:AY26">IF(AT9=59,1,(IF(AT9=60,4,(IF(AT9=61,3,(IF(AT9=62,2,0)))))))</f>
        <v>0</v>
      </c>
      <c r="AU26" s="250">
        <f t="shared" si="45"/>
        <v>0</v>
      </c>
      <c r="AV26" s="250">
        <f t="shared" si="45"/>
        <v>0</v>
      </c>
      <c r="AW26" s="250">
        <f t="shared" si="45"/>
        <v>0</v>
      </c>
      <c r="AX26" s="250">
        <f t="shared" si="45"/>
        <v>0</v>
      </c>
      <c r="AY26" s="251">
        <f t="shared" si="45"/>
        <v>0</v>
      </c>
      <c r="AZ26" s="13"/>
      <c r="BA26" s="232" t="str">
        <f aca="true" t="shared" si="46" ref="BA26:BF26">(IF(BA9&lt;&gt;"",VLOOKUP(BA9,$AH$43:$AI$104,2,FALSE),"0"))</f>
        <v>Agility</v>
      </c>
      <c r="BB26" s="233" t="str">
        <f t="shared" si="46"/>
        <v>General</v>
      </c>
      <c r="BC26" s="233" t="str">
        <f t="shared" si="46"/>
        <v>0</v>
      </c>
      <c r="BD26" s="233" t="str">
        <f t="shared" si="46"/>
        <v>0</v>
      </c>
      <c r="BE26" s="233" t="str">
        <f t="shared" si="46"/>
        <v>0</v>
      </c>
      <c r="BF26" s="234" t="str">
        <f t="shared" si="46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57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57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74"/>
      <c r="D27" s="275"/>
      <c r="E27" s="272" t="s">
        <v>207</v>
      </c>
      <c r="F27" s="273"/>
      <c r="G27" s="273"/>
      <c r="H27" s="273"/>
      <c r="I27" s="273"/>
      <c r="J27" s="100" t="s">
        <v>335</v>
      </c>
      <c r="K27" s="140">
        <v>190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4">
        <f>SUM(AC22:AC26)</f>
        <v>270000</v>
      </c>
      <c r="AD27" s="265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47" ref="AT27:AY27">IF(AT10=59,1,(IF(AT10=60,4,(IF(AT10=61,3,(IF(AT10=62,2,0)))))))</f>
        <v>0</v>
      </c>
      <c r="AU27" s="250">
        <f t="shared" si="47"/>
        <v>2</v>
      </c>
      <c r="AV27" s="250">
        <f t="shared" si="47"/>
        <v>0</v>
      </c>
      <c r="AW27" s="250">
        <f t="shared" si="47"/>
        <v>0</v>
      </c>
      <c r="AX27" s="250">
        <f t="shared" si="47"/>
        <v>0</v>
      </c>
      <c r="AY27" s="251">
        <f t="shared" si="47"/>
        <v>0</v>
      </c>
      <c r="AZ27" s="13"/>
      <c r="BA27" s="232" t="str">
        <f aca="true" t="shared" si="48" ref="BA27:BF27">(IF(BA10&lt;&gt;"",VLOOKUP(BA10,$AH$43:$AI$104,2,FALSE),"0"))</f>
        <v>General</v>
      </c>
      <c r="BB27" s="233" t="str">
        <f t="shared" si="48"/>
        <v>Increase50</v>
      </c>
      <c r="BC27" s="233" t="str">
        <f t="shared" si="48"/>
        <v>0</v>
      </c>
      <c r="BD27" s="233" t="str">
        <f t="shared" si="48"/>
        <v>0</v>
      </c>
      <c r="BE27" s="233" t="str">
        <f t="shared" si="48"/>
        <v>0</v>
      </c>
      <c r="BF27" s="234" t="str">
        <f t="shared" si="48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58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61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76" t="s">
        <v>523</v>
      </c>
      <c r="D28" s="277"/>
      <c r="E28" s="278" t="s">
        <v>278</v>
      </c>
      <c r="F28" s="279"/>
      <c r="G28" s="279"/>
      <c r="H28" s="279"/>
      <c r="I28" s="27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70">
        <f>AC21+AC27</f>
        <v>1660000</v>
      </c>
      <c r="AD28" s="271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49" ref="AT28:AY28">IF(AT11=59,1,(IF(AT11=60,4,(IF(AT11=61,3,(IF(AT11=62,2,0)))))))</f>
        <v>0</v>
      </c>
      <c r="AU28" s="250">
        <f t="shared" si="49"/>
        <v>0</v>
      </c>
      <c r="AV28" s="250">
        <f t="shared" si="49"/>
        <v>0</v>
      </c>
      <c r="AW28" s="250">
        <f t="shared" si="49"/>
        <v>0</v>
      </c>
      <c r="AX28" s="250">
        <f t="shared" si="49"/>
        <v>0</v>
      </c>
      <c r="AY28" s="251">
        <f t="shared" si="49"/>
        <v>0</v>
      </c>
      <c r="AZ28" s="13"/>
      <c r="BA28" s="232" t="str">
        <f aca="true" t="shared" si="50" ref="BA28:BF28">(IF(BA11&lt;&gt;"",VLOOKUP(BA11,$AH$43:$AI$104,2,FALSE),"0"))</f>
        <v>0</v>
      </c>
      <c r="BB28" s="233" t="str">
        <f t="shared" si="50"/>
        <v>0</v>
      </c>
      <c r="BC28" s="233" t="str">
        <f t="shared" si="50"/>
        <v>0</v>
      </c>
      <c r="BD28" s="233" t="str">
        <f t="shared" si="50"/>
        <v>0</v>
      </c>
      <c r="BE28" s="233" t="str">
        <f t="shared" si="50"/>
        <v>0</v>
      </c>
      <c r="BF28" s="234" t="str">
        <f t="shared" si="50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59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62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51" ref="AT29:AY29">IF(AT12=59,1,(IF(AT12=60,4,(IF(AT12=61,3,(IF(AT12=62,2,0)))))))</f>
        <v>0</v>
      </c>
      <c r="AU29" s="250">
        <f t="shared" si="51"/>
        <v>0</v>
      </c>
      <c r="AV29" s="250">
        <f t="shared" si="51"/>
        <v>0</v>
      </c>
      <c r="AW29" s="250">
        <f t="shared" si="51"/>
        <v>0</v>
      </c>
      <c r="AX29" s="250">
        <f t="shared" si="51"/>
        <v>0</v>
      </c>
      <c r="AY29" s="251">
        <f t="shared" si="51"/>
        <v>0</v>
      </c>
      <c r="AZ29" s="13"/>
      <c r="BA29" s="232" t="str">
        <f aca="true" t="shared" si="52" ref="BA29:BF29">(IF(BA12&lt;&gt;"",VLOOKUP(BA12,$AH$43:$AI$104,2,FALSE),"0"))</f>
        <v>Strength</v>
      </c>
      <c r="BB29" s="233" t="str">
        <f t="shared" si="52"/>
        <v>0</v>
      </c>
      <c r="BC29" s="233" t="str">
        <f t="shared" si="52"/>
        <v>0</v>
      </c>
      <c r="BD29" s="233" t="str">
        <f t="shared" si="52"/>
        <v>0</v>
      </c>
      <c r="BE29" s="233" t="str">
        <f t="shared" si="52"/>
        <v>0</v>
      </c>
      <c r="BF29" s="234" t="str">
        <f t="shared" si="52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59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62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53" ref="AT30:AY30">IF(AT13=59,1,(IF(AT13=60,4,(IF(AT13=61,3,(IF(AT13=62,2,0)))))))</f>
        <v>0</v>
      </c>
      <c r="AU30" s="250">
        <f t="shared" si="53"/>
        <v>0</v>
      </c>
      <c r="AV30" s="250">
        <f t="shared" si="53"/>
        <v>0</v>
      </c>
      <c r="AW30" s="250">
        <f t="shared" si="53"/>
        <v>0</v>
      </c>
      <c r="AX30" s="250">
        <f t="shared" si="53"/>
        <v>0</v>
      </c>
      <c r="AY30" s="251">
        <f t="shared" si="53"/>
        <v>0</v>
      </c>
      <c r="AZ30" s="1"/>
      <c r="BA30" s="232" t="str">
        <f aca="true" t="shared" si="54" ref="BA30:BF30">(IF(BA13&lt;&gt;"",VLOOKUP(BA13,$AH$43:$AI$104,2,FALSE),"0"))</f>
        <v>0</v>
      </c>
      <c r="BB30" s="233" t="str">
        <f t="shared" si="54"/>
        <v>0</v>
      </c>
      <c r="BC30" s="233" t="str">
        <f t="shared" si="54"/>
        <v>0</v>
      </c>
      <c r="BD30" s="233" t="str">
        <f t="shared" si="54"/>
        <v>0</v>
      </c>
      <c r="BE30" s="233" t="str">
        <f t="shared" si="54"/>
        <v>0</v>
      </c>
      <c r="BF30" s="234" t="str">
        <f t="shared" si="54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59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62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55" ref="AT31:AY31">IF(AT14=59,1,(IF(AT14=60,4,(IF(AT14=61,3,(IF(AT14=62,2,0)))))))</f>
        <v>0</v>
      </c>
      <c r="AU31" s="250">
        <f t="shared" si="55"/>
        <v>3</v>
      </c>
      <c r="AV31" s="250">
        <f t="shared" si="55"/>
        <v>0</v>
      </c>
      <c r="AW31" s="250">
        <f t="shared" si="55"/>
        <v>0</v>
      </c>
      <c r="AX31" s="250">
        <f t="shared" si="55"/>
        <v>0</v>
      </c>
      <c r="AY31" s="251">
        <f t="shared" si="55"/>
        <v>0</v>
      </c>
      <c r="AZ31" s="1"/>
      <c r="BA31" s="232" t="str">
        <f aca="true" t="shared" si="56" ref="BA31:BF31">(IF(BA14&lt;&gt;"",VLOOKUP(BA14,$AH$43:$AI$104,2,FALSE),"0"))</f>
        <v>Agility</v>
      </c>
      <c r="BB31" s="233" t="str">
        <f t="shared" si="56"/>
        <v>Increase40</v>
      </c>
      <c r="BC31" s="233" t="str">
        <f t="shared" si="56"/>
        <v>0</v>
      </c>
      <c r="BD31" s="233" t="str">
        <f t="shared" si="56"/>
        <v>0</v>
      </c>
      <c r="BE31" s="233" t="str">
        <f t="shared" si="56"/>
        <v>0</v>
      </c>
      <c r="BF31" s="234" t="str">
        <f t="shared" si="56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61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63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90" t="s">
        <v>742</v>
      </c>
      <c r="D32" s="291"/>
      <c r="E32" s="291"/>
      <c r="F32" s="291"/>
      <c r="G32" s="291"/>
      <c r="H32" s="291"/>
      <c r="I32" s="291"/>
      <c r="J32" s="291"/>
      <c r="K32" s="292"/>
      <c r="L32" s="290" t="s">
        <v>743</v>
      </c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2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57" ref="AT32:AY32">IF(AT15=59,1,(IF(AT15=60,4,(IF(AT15=61,3,(IF(AT15=62,2,0)))))))</f>
        <v>0</v>
      </c>
      <c r="AU32" s="250">
        <f t="shared" si="57"/>
        <v>0</v>
      </c>
      <c r="AV32" s="250">
        <f t="shared" si="57"/>
        <v>0</v>
      </c>
      <c r="AW32" s="250">
        <f t="shared" si="57"/>
        <v>0</v>
      </c>
      <c r="AX32" s="250">
        <f t="shared" si="57"/>
        <v>0</v>
      </c>
      <c r="AY32" s="251">
        <f t="shared" si="57"/>
        <v>0</v>
      </c>
      <c r="AZ32" s="1"/>
      <c r="BA32" s="232" t="str">
        <f aca="true" t="shared" si="58" ref="BA32:BF32">(IF(BA15&lt;&gt;"",VLOOKUP(BA15,$AH$43:$AI$104,2,FALSE),"0"))</f>
        <v>Agility</v>
      </c>
      <c r="BB32" s="233" t="str">
        <f t="shared" si="58"/>
        <v>0</v>
      </c>
      <c r="BC32" s="233" t="str">
        <f t="shared" si="58"/>
        <v>0</v>
      </c>
      <c r="BD32" s="233" t="str">
        <f t="shared" si="58"/>
        <v>0</v>
      </c>
      <c r="BE32" s="233" t="str">
        <f t="shared" si="58"/>
        <v>0</v>
      </c>
      <c r="BF32" s="234" t="str">
        <f t="shared" si="58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62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55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59" ref="D33:D40">IF(E33&lt;&gt;"",IF(K33&lt;&gt;"",BM33+50000,BM33),"")</f>
      </c>
      <c r="E33" s="48">
        <f aca="true" t="shared" si="60" ref="E33:E40">IF(BH33&lt;=1,"",VLOOKUP(BH33,DV$1:DW$65536,2,FALSE))</f>
      </c>
      <c r="F33" s="44">
        <f aca="true" t="shared" si="61" ref="F33:F40">IF(E33&lt;&gt;"",VLOOKUP(E33,$DM:$DS,2,FALSE),"")</f>
      </c>
      <c r="G33" s="44">
        <f aca="true" t="shared" si="62" ref="G33:G40">IF(E33&lt;&gt;"",VLOOKUP(E33,$DM:$DS,3,FALSE),"")</f>
      </c>
      <c r="H33" s="44">
        <f aca="true" t="shared" si="63" ref="H33:H40">IF(E33&lt;&gt;"",VLOOKUP(E33,$DM:$DS,4,FALSE),"")</f>
      </c>
      <c r="I33" s="44">
        <f aca="true" t="shared" si="64" ref="I33:I40">IF(E33&lt;&gt;"",VLOOKUP(E33,$DM:$DS,5,FALSE),"")</f>
      </c>
      <c r="J33" s="50">
        <f aca="true" t="shared" si="65" ref="J33:J40">IF(E33="","",VLOOKUP(E33,DM$1:DS$65536,6,FALSE))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80">
        <v>50000</v>
      </c>
      <c r="Y33" s="280"/>
      <c r="Z33" s="280"/>
      <c r="AA33" s="280"/>
      <c r="AB33" s="163" t="s">
        <v>745</v>
      </c>
      <c r="AC33" s="288">
        <f>V33*X33</f>
        <v>0</v>
      </c>
      <c r="AD33" s="28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66" ref="AT33:AY33">IF(AT16=59,1,(IF(AT16=60,4,(IF(AT16=61,3,(IF(AT16=62,2,0)))))))</f>
        <v>0</v>
      </c>
      <c r="AU33" s="250">
        <f t="shared" si="66"/>
        <v>0</v>
      </c>
      <c r="AV33" s="250">
        <f t="shared" si="66"/>
        <v>0</v>
      </c>
      <c r="AW33" s="250">
        <f t="shared" si="66"/>
        <v>0</v>
      </c>
      <c r="AX33" s="250">
        <f t="shared" si="66"/>
        <v>0</v>
      </c>
      <c r="AY33" s="251">
        <f t="shared" si="66"/>
        <v>0</v>
      </c>
      <c r="AZ33" s="1"/>
      <c r="BA33" s="232" t="str">
        <f aca="true" t="shared" si="67" ref="BA33:BF33">(IF(BA16&lt;&gt;"",VLOOKUP(BA16,$AH$43:$AI$104,2,FALSE),"0"))</f>
        <v>General</v>
      </c>
      <c r="BB33" s="233" t="str">
        <f t="shared" si="67"/>
        <v>General</v>
      </c>
      <c r="BC33" s="233" t="str">
        <f t="shared" si="67"/>
        <v>0</v>
      </c>
      <c r="BD33" s="233" t="str">
        <f t="shared" si="67"/>
        <v>0</v>
      </c>
      <c r="BE33" s="233" t="str">
        <f t="shared" si="67"/>
        <v>0</v>
      </c>
      <c r="BF33" s="234" t="str">
        <f t="shared" si="67"/>
        <v>0</v>
      </c>
      <c r="BG33" s="1"/>
      <c r="BH33" s="16">
        <v>1</v>
      </c>
      <c r="BI33" s="12" t="e">
        <f aca="true" t="shared" si="68" ref="BI33:BI40">VLOOKUP(E33,$DM:$DS,2,FALSE)</f>
        <v>#N/A</v>
      </c>
      <c r="BJ33" s="12" t="e">
        <f aca="true" t="shared" si="69" ref="BJ33:BJ40">VLOOKUP(E33,$DM:$DS,3,FALSE)</f>
        <v>#N/A</v>
      </c>
      <c r="BK33" s="12" t="e">
        <f aca="true" t="shared" si="70" ref="BK33:BK40">VLOOKUP(E33,$DM:$DS,4,FALSE)</f>
        <v>#N/A</v>
      </c>
      <c r="BL33" s="12" t="e">
        <f aca="true" t="shared" si="71" ref="BL33:BL40">VLOOKUP(E33,$DM:$DS,5,FALSE)</f>
        <v>#N/A</v>
      </c>
      <c r="BM33" s="7" t="str">
        <f aca="true" t="shared" si="72" ref="BM33:BM40">(IF(E33&lt;&gt;"",VLOOKUP(E33,DM$1:DS$65536,7,FALSE),"0"))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62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56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59"/>
      </c>
      <c r="E34" s="43">
        <f t="shared" si="60"/>
      </c>
      <c r="F34" s="44">
        <f t="shared" si="61"/>
      </c>
      <c r="G34" s="44">
        <f t="shared" si="62"/>
      </c>
      <c r="H34" s="44">
        <f t="shared" si="63"/>
      </c>
      <c r="I34" s="44">
        <f t="shared" si="64"/>
      </c>
      <c r="J34" s="45">
        <f t="shared" si="65"/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81">
        <f>IF(K24="Goblin",50000,100000)</f>
        <v>100000</v>
      </c>
      <c r="Y34" s="281"/>
      <c r="Z34" s="281"/>
      <c r="AA34" s="281"/>
      <c r="AB34" s="104" t="s">
        <v>745</v>
      </c>
      <c r="AC34" s="287">
        <f aca="true" t="shared" si="73" ref="AC34:AC39">V34*X34</f>
        <v>0</v>
      </c>
      <c r="AD34" s="267"/>
      <c r="AE34" s="187"/>
      <c r="AT34" s="250">
        <f aca="true" t="shared" si="74" ref="AT34:AY34">IF(AT17=59,1,(IF(AT17=60,4,(IF(AT17=61,3,(IF(AT17=62,2,0)))))))</f>
        <v>0</v>
      </c>
      <c r="AU34" s="250">
        <f t="shared" si="74"/>
        <v>0</v>
      </c>
      <c r="AV34" s="250">
        <f t="shared" si="74"/>
        <v>0</v>
      </c>
      <c r="AW34" s="250">
        <f t="shared" si="74"/>
        <v>0</v>
      </c>
      <c r="AX34" s="250">
        <f t="shared" si="74"/>
        <v>0</v>
      </c>
      <c r="AY34" s="251">
        <f t="shared" si="74"/>
        <v>0</v>
      </c>
      <c r="BA34" s="232" t="str">
        <f aca="true" t="shared" si="75" ref="BA34:BF34">(IF(BA17&lt;&gt;"",VLOOKUP(BA17,$AH$43:$AI$104,2,FALSE),"0"))</f>
        <v>0</v>
      </c>
      <c r="BB34" s="233" t="str">
        <f t="shared" si="75"/>
        <v>0</v>
      </c>
      <c r="BC34" s="233" t="str">
        <f t="shared" si="75"/>
        <v>0</v>
      </c>
      <c r="BD34" s="233" t="str">
        <f t="shared" si="75"/>
        <v>0</v>
      </c>
      <c r="BE34" s="233" t="str">
        <f t="shared" si="75"/>
        <v>0</v>
      </c>
      <c r="BF34" s="234" t="str">
        <f t="shared" si="75"/>
        <v>0</v>
      </c>
      <c r="BH34" s="16">
        <v>1</v>
      </c>
      <c r="BI34" s="12" t="e">
        <f t="shared" si="68"/>
        <v>#N/A</v>
      </c>
      <c r="BJ34" s="12" t="e">
        <f t="shared" si="69"/>
        <v>#N/A</v>
      </c>
      <c r="BK34" s="12" t="e">
        <f t="shared" si="70"/>
        <v>#N/A</v>
      </c>
      <c r="BL34" s="12" t="e">
        <f t="shared" si="71"/>
        <v>#N/A</v>
      </c>
      <c r="BM34" s="7" t="str">
        <f t="shared" si="72"/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62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56"/>
    </row>
    <row r="35" spans="2:124" ht="18" customHeight="1">
      <c r="B35" s="185"/>
      <c r="C35" s="138"/>
      <c r="D35" s="195">
        <f t="shared" si="59"/>
      </c>
      <c r="E35" s="43">
        <f t="shared" si="60"/>
      </c>
      <c r="F35" s="44">
        <f t="shared" si="61"/>
      </c>
      <c r="G35" s="44">
        <f t="shared" si="62"/>
      </c>
      <c r="H35" s="44">
        <f t="shared" si="63"/>
      </c>
      <c r="I35" s="44">
        <f t="shared" si="64"/>
      </c>
      <c r="J35" s="45">
        <f t="shared" si="65"/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81">
        <v>100000</v>
      </c>
      <c r="Y35" s="281"/>
      <c r="Z35" s="281"/>
      <c r="AA35" s="281"/>
      <c r="AB35" s="104" t="s">
        <v>745</v>
      </c>
      <c r="AC35" s="287">
        <f t="shared" si="73"/>
        <v>0</v>
      </c>
      <c r="AD35" s="267"/>
      <c r="AE35" s="187"/>
      <c r="AT35" s="250">
        <f aca="true" t="shared" si="76" ref="AT35:AY35">IF(AT18=59,1,(IF(AT18=60,4,(IF(AT18=61,3,(IF(AT18=62,2,0)))))))</f>
        <v>0</v>
      </c>
      <c r="AU35" s="250">
        <f t="shared" si="76"/>
        <v>0</v>
      </c>
      <c r="AV35" s="250">
        <f t="shared" si="76"/>
        <v>0</v>
      </c>
      <c r="AW35" s="250">
        <f t="shared" si="76"/>
        <v>0</v>
      </c>
      <c r="AX35" s="250">
        <f t="shared" si="76"/>
        <v>0</v>
      </c>
      <c r="AY35" s="251">
        <f t="shared" si="76"/>
        <v>0</v>
      </c>
      <c r="BA35" s="232" t="str">
        <f aca="true" t="shared" si="77" ref="BA35:BF35">(IF(BA18&lt;&gt;"",VLOOKUP(BA18,$AH$43:$AI$104,2,FALSE),"0"))</f>
        <v>0</v>
      </c>
      <c r="BB35" s="233" t="str">
        <f t="shared" si="77"/>
        <v>0</v>
      </c>
      <c r="BC35" s="233" t="str">
        <f t="shared" si="77"/>
        <v>0</v>
      </c>
      <c r="BD35" s="233" t="str">
        <f t="shared" si="77"/>
        <v>0</v>
      </c>
      <c r="BE35" s="233" t="str">
        <f t="shared" si="77"/>
        <v>0</v>
      </c>
      <c r="BF35" s="234" t="str">
        <f t="shared" si="77"/>
        <v>0</v>
      </c>
      <c r="BH35" s="16">
        <v>1</v>
      </c>
      <c r="BI35" s="12" t="e">
        <f t="shared" si="68"/>
        <v>#N/A</v>
      </c>
      <c r="BJ35" s="12" t="e">
        <f t="shared" si="69"/>
        <v>#N/A</v>
      </c>
      <c r="BK35" s="12" t="e">
        <f t="shared" si="70"/>
        <v>#N/A</v>
      </c>
      <c r="BL35" s="12" t="e">
        <f t="shared" si="71"/>
        <v>#N/A</v>
      </c>
      <c r="BM35" s="7" t="str">
        <f t="shared" si="72"/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63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57"/>
    </row>
    <row r="36" spans="2:124" ht="18" customHeight="1">
      <c r="B36" s="185"/>
      <c r="C36" s="138"/>
      <c r="D36" s="195">
        <f t="shared" si="59"/>
      </c>
      <c r="E36" s="43">
        <f t="shared" si="60"/>
      </c>
      <c r="F36" s="44">
        <f t="shared" si="61"/>
      </c>
      <c r="G36" s="44">
        <f t="shared" si="62"/>
      </c>
      <c r="H36" s="44">
        <f t="shared" si="63"/>
      </c>
      <c r="I36" s="44">
        <f t="shared" si="64"/>
      </c>
      <c r="J36" s="45">
        <f t="shared" si="65"/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81">
        <f>IF(K24="Halfling",100000,300000)</f>
        <v>300000</v>
      </c>
      <c r="Y36" s="281"/>
      <c r="Z36" s="281"/>
      <c r="AA36" s="281"/>
      <c r="AB36" s="104" t="s">
        <v>745</v>
      </c>
      <c r="AC36" s="287">
        <f t="shared" si="73"/>
        <v>0</v>
      </c>
      <c r="AD36" s="267"/>
      <c r="AE36" s="187"/>
      <c r="AT36" s="250">
        <f aca="true" t="shared" si="78" ref="AT36:AY36">IF(AT19=59,1,(IF(AT19=60,4,(IF(AT19=61,3,(IF(AT19=62,2,0)))))))</f>
        <v>0</v>
      </c>
      <c r="AU36" s="250">
        <f t="shared" si="78"/>
        <v>0</v>
      </c>
      <c r="AV36" s="250">
        <f t="shared" si="78"/>
        <v>0</v>
      </c>
      <c r="AW36" s="250">
        <f t="shared" si="78"/>
        <v>0</v>
      </c>
      <c r="AX36" s="250">
        <f t="shared" si="78"/>
        <v>0</v>
      </c>
      <c r="AY36" s="251">
        <f t="shared" si="78"/>
        <v>0</v>
      </c>
      <c r="BA36" s="232" t="str">
        <f aca="true" t="shared" si="79" ref="BA36:BF36">(IF(BA19&lt;&gt;"",VLOOKUP(BA19,$AH$43:$AI$104,2,FALSE),"0"))</f>
        <v>0</v>
      </c>
      <c r="BB36" s="233" t="str">
        <f t="shared" si="79"/>
        <v>0</v>
      </c>
      <c r="BC36" s="233" t="str">
        <f t="shared" si="79"/>
        <v>0</v>
      </c>
      <c r="BD36" s="233" t="str">
        <f t="shared" si="79"/>
        <v>0</v>
      </c>
      <c r="BE36" s="233" t="str">
        <f t="shared" si="79"/>
        <v>0</v>
      </c>
      <c r="BF36" s="234" t="str">
        <f t="shared" si="79"/>
        <v>0</v>
      </c>
      <c r="BH36" s="16">
        <v>1</v>
      </c>
      <c r="BI36" s="12" t="e">
        <f t="shared" si="68"/>
        <v>#N/A</v>
      </c>
      <c r="BJ36" s="12" t="e">
        <f t="shared" si="69"/>
        <v>#N/A</v>
      </c>
      <c r="BK36" s="12" t="e">
        <f t="shared" si="70"/>
        <v>#N/A</v>
      </c>
      <c r="BL36" s="12" t="e">
        <f t="shared" si="71"/>
        <v>#N/A</v>
      </c>
      <c r="BM36" s="7" t="str">
        <f t="shared" si="72"/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55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61" t="s">
        <v>33</v>
      </c>
    </row>
    <row r="37" spans="2:124" ht="18" customHeight="1">
      <c r="B37" s="185"/>
      <c r="C37" s="138"/>
      <c r="D37" s="195">
        <f t="shared" si="59"/>
      </c>
      <c r="E37" s="43">
        <f t="shared" si="60"/>
      </c>
      <c r="F37" s="44">
        <f t="shared" si="61"/>
      </c>
      <c r="G37" s="44">
        <f t="shared" si="62"/>
      </c>
      <c r="H37" s="44">
        <f t="shared" si="63"/>
      </c>
      <c r="I37" s="44">
        <f t="shared" si="64"/>
      </c>
      <c r="J37" s="45">
        <f t="shared" si="65"/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81">
        <f>IF(K24="Undead",100000,(IF(K24="Necromantic",100000,(IF(K24="Khemri",100000,(IF(K24="Nurgle",100000,"")))))))</f>
      </c>
      <c r="Y37" s="281"/>
      <c r="Z37" s="281"/>
      <c r="AA37" s="281"/>
      <c r="AB37" s="104">
        <f>IF(K24="Undead","gp",(IF(K24="Necromantic","gp",(IF(K24="Khemri","gp",(IF(K24="Nurgle","gp","")))))))</f>
      </c>
      <c r="AC37" s="287">
        <f>IF(K24="Undead",V37*X37,(IF(K24="Necromantic",V37*X37,(IF(K24="Khemri",V37*X37,(IF(K24="Nurgle",V37*X37,0)))))))</f>
        <v>0</v>
      </c>
      <c r="AD37" s="267"/>
      <c r="AE37" s="187"/>
      <c r="AT37" s="252">
        <f aca="true" t="shared" si="80" ref="AT37:AY37">IF(AT20=59,1,(IF(AT20=60,4,(IF(AT20=61,3,(IF(AT20=62,2,0)))))))</f>
        <v>0</v>
      </c>
      <c r="AU37" s="252">
        <f t="shared" si="80"/>
        <v>0</v>
      </c>
      <c r="AV37" s="252">
        <f t="shared" si="80"/>
        <v>0</v>
      </c>
      <c r="AW37" s="252">
        <f t="shared" si="80"/>
        <v>0</v>
      </c>
      <c r="AX37" s="252">
        <f t="shared" si="80"/>
        <v>0</v>
      </c>
      <c r="AY37" s="253">
        <f t="shared" si="80"/>
        <v>0</v>
      </c>
      <c r="BA37" s="235" t="str">
        <f aca="true" t="shared" si="81" ref="BA37:BF37">(IF(BA20&lt;&gt;"",VLOOKUP(BA20,$AH$43:$AI$104,2,FALSE),"0"))</f>
        <v>0</v>
      </c>
      <c r="BB37" s="236" t="str">
        <f t="shared" si="81"/>
        <v>0</v>
      </c>
      <c r="BC37" s="236" t="str">
        <f t="shared" si="81"/>
        <v>0</v>
      </c>
      <c r="BD37" s="236" t="str">
        <f t="shared" si="81"/>
        <v>0</v>
      </c>
      <c r="BE37" s="236" t="str">
        <f t="shared" si="81"/>
        <v>0</v>
      </c>
      <c r="BF37" s="237" t="str">
        <f t="shared" si="81"/>
        <v>0</v>
      </c>
      <c r="BH37" s="16">
        <v>1</v>
      </c>
      <c r="BI37" s="12" t="e">
        <f t="shared" si="68"/>
        <v>#N/A</v>
      </c>
      <c r="BJ37" s="12" t="e">
        <f t="shared" si="69"/>
        <v>#N/A</v>
      </c>
      <c r="BK37" s="12" t="e">
        <f t="shared" si="70"/>
        <v>#N/A</v>
      </c>
      <c r="BL37" s="12" t="e">
        <f t="shared" si="71"/>
        <v>#N/A</v>
      </c>
      <c r="BM37" s="7" t="str">
        <f t="shared" si="72"/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56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62"/>
    </row>
    <row r="38" spans="2:124" ht="18" customHeight="1">
      <c r="B38" s="185"/>
      <c r="C38" s="138"/>
      <c r="D38" s="195">
        <f t="shared" si="59"/>
      </c>
      <c r="E38" s="43">
        <f t="shared" si="60"/>
      </c>
      <c r="F38" s="44">
        <f t="shared" si="61"/>
      </c>
      <c r="G38" s="44">
        <f t="shared" si="62"/>
      </c>
      <c r="H38" s="44">
        <f t="shared" si="63"/>
      </c>
      <c r="I38" s="44">
        <f t="shared" si="64"/>
      </c>
      <c r="J38" s="45">
        <f t="shared" si="65"/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96">
        <f>IF(K24="Undead","",(IF(K24="Necromantic","",(IF(K24="Khemri","",(IF(K24="Nurgle","",100000)))))))</f>
        <v>100000</v>
      </c>
      <c r="Y38" s="296"/>
      <c r="Z38" s="296"/>
      <c r="AA38" s="296"/>
      <c r="AB38" s="172" t="str">
        <f>IF(K24="Undead","",(IF(K24="Necromantic","",(IF(K24="Khemri","",(IF(K24="Nurgle","","gp")))))))</f>
        <v>gp</v>
      </c>
      <c r="AC38" s="287">
        <f>IF(K24="Undead",0,(IF(K24="Necromantic",0,(IF(K24="Khemri",0,(IF(K24="Nurgle",0,V38*X38)))))))</f>
        <v>0</v>
      </c>
      <c r="AD38" s="267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 t="shared" si="68"/>
        <v>#N/A</v>
      </c>
      <c r="BJ38" s="12" t="e">
        <f t="shared" si="69"/>
        <v>#N/A</v>
      </c>
      <c r="BK38" s="12" t="e">
        <f t="shared" si="70"/>
        <v>#N/A</v>
      </c>
      <c r="BL38" s="12" t="e">
        <f t="shared" si="71"/>
        <v>#N/A</v>
      </c>
      <c r="BM38" s="7" t="str">
        <f t="shared" si="72"/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56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62"/>
    </row>
    <row r="39" spans="2:124" ht="18" customHeight="1" thickBot="1">
      <c r="B39" s="185"/>
      <c r="C39" s="138"/>
      <c r="D39" s="195">
        <f t="shared" si="59"/>
      </c>
      <c r="E39" s="43">
        <f t="shared" si="60"/>
      </c>
      <c r="F39" s="44">
        <f t="shared" si="61"/>
      </c>
      <c r="G39" s="44">
        <f t="shared" si="62"/>
      </c>
      <c r="H39" s="44">
        <f t="shared" si="63"/>
      </c>
      <c r="I39" s="44">
        <f t="shared" si="64"/>
      </c>
      <c r="J39" s="45">
        <f t="shared" si="65"/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93">
        <v>150000</v>
      </c>
      <c r="Y39" s="293"/>
      <c r="Z39" s="293"/>
      <c r="AA39" s="293"/>
      <c r="AB39" s="168" t="str">
        <f>IF(K35="Undead","",(IF(K35="Necromantic","",(IF(K35="Khemri","",(IF(K35="Nurgle",""," gp")))))))</f>
        <v> gp</v>
      </c>
      <c r="AC39" s="294">
        <f t="shared" si="73"/>
        <v>0</v>
      </c>
      <c r="AD39" s="295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 t="str">
        <f aca="true" t="shared" si="82" ref="BA39:BF39">IF(BA22="General","G",(IF(BA22="Agility","A",(IF(BA22="Passing","P",(IF(BA22="Strength","S",(IF(BA22="Mutation","M",(IF(BA22="Increase30",30,(IF(BA22="Increase40",40,(IF(BA22="Increase50",50,0)))))))))))))))</f>
        <v>A</v>
      </c>
      <c r="BB39" s="239" t="str">
        <f t="shared" si="82"/>
        <v>G</v>
      </c>
      <c r="BC39" s="239">
        <f t="shared" si="82"/>
        <v>0</v>
      </c>
      <c r="BD39" s="239">
        <f t="shared" si="82"/>
        <v>0</v>
      </c>
      <c r="BE39" s="239">
        <f t="shared" si="82"/>
        <v>0</v>
      </c>
      <c r="BF39" s="240">
        <f t="shared" si="82"/>
        <v>0</v>
      </c>
      <c r="BH39" s="16">
        <v>1</v>
      </c>
      <c r="BI39" s="12" t="e">
        <f t="shared" si="68"/>
        <v>#N/A</v>
      </c>
      <c r="BJ39" s="12" t="e">
        <f t="shared" si="69"/>
        <v>#N/A</v>
      </c>
      <c r="BK39" s="12" t="e">
        <f t="shared" si="70"/>
        <v>#N/A</v>
      </c>
      <c r="BL39" s="12" t="e">
        <f t="shared" si="71"/>
        <v>#N/A</v>
      </c>
      <c r="BM39" s="7" t="str">
        <f t="shared" si="72"/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57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62"/>
    </row>
    <row r="40" spans="2:124" ht="18" customHeight="1" thickBot="1">
      <c r="B40" s="185"/>
      <c r="C40" s="174"/>
      <c r="D40" s="196">
        <f t="shared" si="59"/>
      </c>
      <c r="E40" s="175">
        <f t="shared" si="60"/>
      </c>
      <c r="F40" s="176">
        <f t="shared" si="61"/>
      </c>
      <c r="G40" s="176">
        <f t="shared" si="62"/>
      </c>
      <c r="H40" s="176">
        <f t="shared" si="63"/>
      </c>
      <c r="I40" s="176">
        <f t="shared" si="64"/>
      </c>
      <c r="J40" s="177">
        <f t="shared" si="65"/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4">
        <f>SUM(AC33:AC39)+SUM(D33:D40)</f>
        <v>0</v>
      </c>
      <c r="AD40" s="265"/>
      <c r="AE40" s="187"/>
      <c r="AW40" s="105">
        <f aca="true" t="shared" si="83" ref="AW40:AW54">IF(ISNUMBER(FIND("M",L6)),1,0)+IF(ISNUMBER(FIND("M",M6)),1,0)</f>
        <v>0</v>
      </c>
      <c r="AY40" s="105">
        <f aca="true" t="shared" si="84" ref="AY40:AY54">IF(ISNUMBER(FIND("M",BA40)),1,0)+IF(ISNUMBER(FIND("M",BB40)),1,0)+IF(ISNUMBER(FIND("M",BC40)),1,0)+IF(ISNUMBER(FIND("M",BD40)),1,0)+IF(ISNUMBER(FIND("M",BE40)),1,0)+IF(ISNUMBER(FIND("M",BF40)),1,0)</f>
        <v>0</v>
      </c>
      <c r="BA40" s="241" t="str">
        <f aca="true" t="shared" si="85" ref="BA40:BF40">IF(BA23="General","G",(IF(BA23="Agility","A",(IF(BA23="Passing","P",(IF(BA23="Strength","S",(IF(BA23="Mutation","M",(IF(BA23="Increase30",30,(IF(BA23="Increase40",40,(IF(BA23="Increase50",50,0)))))))))))))))</f>
        <v>G</v>
      </c>
      <c r="BB40" s="242" t="str">
        <f t="shared" si="85"/>
        <v>G</v>
      </c>
      <c r="BC40" s="242" t="str">
        <f t="shared" si="85"/>
        <v>S</v>
      </c>
      <c r="BD40" s="242">
        <f t="shared" si="85"/>
        <v>0</v>
      </c>
      <c r="BE40" s="242">
        <f t="shared" si="85"/>
        <v>0</v>
      </c>
      <c r="BF40" s="243">
        <f t="shared" si="85"/>
        <v>0</v>
      </c>
      <c r="BH40" s="16">
        <v>1</v>
      </c>
      <c r="BI40" s="12" t="e">
        <f t="shared" si="68"/>
        <v>#N/A</v>
      </c>
      <c r="BJ40" s="12" t="e">
        <f t="shared" si="69"/>
        <v>#N/A</v>
      </c>
      <c r="BK40" s="12" t="e">
        <f t="shared" si="70"/>
        <v>#N/A</v>
      </c>
      <c r="BL40" s="12" t="e">
        <f t="shared" si="71"/>
        <v>#N/A</v>
      </c>
      <c r="BM40" s="7" t="str">
        <f t="shared" si="72"/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61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62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83"/>
        <v>0</v>
      </c>
      <c r="AY41" s="105">
        <f t="shared" si="84"/>
        <v>0</v>
      </c>
      <c r="BA41" s="241" t="str">
        <f aca="true" t="shared" si="86" ref="BA41:BF41">IF(BA24="General","G",(IF(BA24="Agility","A",(IF(BA24="Passing","P",(IF(BA24="Strength","S",(IF(BA24="Mutation","M",(IF(BA24="Increase30",30,(IF(BA24="Increase40",40,(IF(BA24="Increase50",50,0)))))))))))))))</f>
        <v>G</v>
      </c>
      <c r="BB41" s="242">
        <f t="shared" si="86"/>
        <v>0</v>
      </c>
      <c r="BC41" s="242">
        <f t="shared" si="86"/>
        <v>0</v>
      </c>
      <c r="BD41" s="242">
        <f t="shared" si="86"/>
        <v>0</v>
      </c>
      <c r="BE41" s="242">
        <f t="shared" si="86"/>
        <v>0</v>
      </c>
      <c r="BF41" s="243">
        <f t="shared" si="86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62"/>
      <c r="CA41" s="6"/>
      <c r="CB41" s="7"/>
      <c r="CC41" s="5"/>
      <c r="CD41" s="5"/>
      <c r="CE41" s="5"/>
      <c r="CF41" s="5"/>
      <c r="CG41" s="34">
        <f aca="true" t="shared" si="87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63"/>
    </row>
    <row r="42" spans="49:124" ht="9" customHeight="1">
      <c r="AW42" s="105">
        <f t="shared" si="83"/>
        <v>0</v>
      </c>
      <c r="AY42" s="105">
        <f t="shared" si="84"/>
        <v>0</v>
      </c>
      <c r="BA42" s="241">
        <f aca="true" t="shared" si="88" ref="BA42:BF42">IF(BA25="General","G",(IF(BA25="Agility","A",(IF(BA25="Passing","P",(IF(BA25="Strength","S",(IF(BA25="Mutation","M",(IF(BA25="Increase30",30,(IF(BA25="Increase40",40,(IF(BA25="Increase50",50,0)))))))))))))))</f>
        <v>0</v>
      </c>
      <c r="BB42" s="242">
        <f t="shared" si="88"/>
        <v>0</v>
      </c>
      <c r="BC42" s="242">
        <f t="shared" si="88"/>
        <v>0</v>
      </c>
      <c r="BD42" s="242">
        <f t="shared" si="88"/>
        <v>0</v>
      </c>
      <c r="BE42" s="242">
        <f t="shared" si="88"/>
        <v>0</v>
      </c>
      <c r="BF42" s="243">
        <f t="shared" si="88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62"/>
      <c r="CA42" s="6"/>
      <c r="CB42" s="7"/>
      <c r="CC42" s="5"/>
      <c r="CD42" s="5"/>
      <c r="CE42" s="5"/>
      <c r="CF42" s="5"/>
      <c r="CG42" s="34">
        <f t="shared" si="87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55" t="s">
        <v>35</v>
      </c>
    </row>
    <row r="43" spans="33:124" ht="15" customHeight="1" hidden="1">
      <c r="AG43" s="201">
        <v>1</v>
      </c>
      <c r="AH43" s="202"/>
      <c r="AW43" s="105">
        <f t="shared" si="83"/>
        <v>0</v>
      </c>
      <c r="AY43" s="105">
        <f t="shared" si="84"/>
        <v>0</v>
      </c>
      <c r="BA43" s="241" t="str">
        <f aca="true" t="shared" si="89" ref="BA43:BF43">IF(BA26="General","G",(IF(BA26="Agility","A",(IF(BA26="Passing","P",(IF(BA26="Strength","S",(IF(BA26="Mutation","M",(IF(BA26="Increase30",30,(IF(BA26="Increase40",40,(IF(BA26="Increase50",50,0)))))))))))))))</f>
        <v>A</v>
      </c>
      <c r="BB43" s="242" t="str">
        <f t="shared" si="89"/>
        <v>G</v>
      </c>
      <c r="BC43" s="242">
        <f t="shared" si="89"/>
        <v>0</v>
      </c>
      <c r="BD43" s="242">
        <f t="shared" si="89"/>
        <v>0</v>
      </c>
      <c r="BE43" s="242">
        <f t="shared" si="89"/>
        <v>0</v>
      </c>
      <c r="BF43" s="243">
        <f t="shared" si="89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62"/>
      <c r="CA43" s="6"/>
      <c r="CB43" s="7"/>
      <c r="CC43" s="5"/>
      <c r="CD43" s="5"/>
      <c r="CE43" s="5"/>
      <c r="CF43" s="5"/>
      <c r="CG43" s="34">
        <f t="shared" si="87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57"/>
    </row>
    <row r="44" spans="33:124" ht="15" customHeight="1" hidden="1">
      <c r="AG44" s="201">
        <v>2</v>
      </c>
      <c r="AH44" s="203" t="s">
        <v>810</v>
      </c>
      <c r="AW44" s="105">
        <f t="shared" si="83"/>
        <v>0</v>
      </c>
      <c r="AY44" s="105">
        <f t="shared" si="84"/>
        <v>0</v>
      </c>
      <c r="BA44" s="241" t="str">
        <f aca="true" t="shared" si="90" ref="BA44:BF44">IF(BA27="General","G",(IF(BA27="Agility","A",(IF(BA27="Passing","P",(IF(BA27="Strength","S",(IF(BA27="Mutation","M",(IF(BA27="Increase30",30,(IF(BA27="Increase40",40,(IF(BA27="Increase50",50,0)))))))))))))))</f>
        <v>G</v>
      </c>
      <c r="BB44" s="242">
        <f t="shared" si="90"/>
        <v>50</v>
      </c>
      <c r="BC44" s="242">
        <f t="shared" si="90"/>
        <v>0</v>
      </c>
      <c r="BD44" s="242">
        <f t="shared" si="90"/>
        <v>0</v>
      </c>
      <c r="BE44" s="242">
        <f t="shared" si="90"/>
        <v>0</v>
      </c>
      <c r="BF44" s="243">
        <f t="shared" si="90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62"/>
      <c r="CA44" s="6"/>
      <c r="CB44" s="7"/>
      <c r="CC44" s="5"/>
      <c r="CD44" s="5"/>
      <c r="CE44" s="5"/>
      <c r="CF44" s="5"/>
      <c r="CG44" s="34">
        <f t="shared" si="87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61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83"/>
        <v>0</v>
      </c>
      <c r="AY45" s="105">
        <f t="shared" si="84"/>
        <v>0</v>
      </c>
      <c r="BA45" s="241">
        <f aca="true" t="shared" si="91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91"/>
        <v>0</v>
      </c>
      <c r="BC45" s="242">
        <f t="shared" si="91"/>
        <v>0</v>
      </c>
      <c r="BD45" s="242">
        <f t="shared" si="91"/>
        <v>0</v>
      </c>
      <c r="BE45" s="242">
        <f t="shared" si="91"/>
        <v>0</v>
      </c>
      <c r="BF45" s="243">
        <f t="shared" si="91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63"/>
      <c r="CA45" s="6"/>
      <c r="CB45" s="7"/>
      <c r="CC45" s="5"/>
      <c r="CD45" s="5"/>
      <c r="CE45" s="5"/>
      <c r="CF45" s="5"/>
      <c r="CG45" s="34">
        <f t="shared" si="87"/>
      </c>
      <c r="CH45" s="2">
        <f aca="true" t="shared" si="92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62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83"/>
        <v>0</v>
      </c>
      <c r="AY46" s="105">
        <f t="shared" si="84"/>
        <v>0</v>
      </c>
      <c r="BA46" s="241" t="str">
        <f aca="true" t="shared" si="93" ref="BA46:BF46">IF(BA29="General","G",(IF(BA29="Agility","A",(IF(BA29="Passing","P",(IF(BA29="Strength","S",(IF(BA29="Mutation","M",(IF(BA29="Increase30",30,(IF(BA29="Increase40",40,(IF(BA29="Increase50",50,0)))))))))))))))</f>
        <v>S</v>
      </c>
      <c r="BB46" s="242">
        <f t="shared" si="93"/>
        <v>0</v>
      </c>
      <c r="BC46" s="242">
        <f t="shared" si="93"/>
        <v>0</v>
      </c>
      <c r="BD46" s="242">
        <f t="shared" si="93"/>
        <v>0</v>
      </c>
      <c r="BE46" s="242">
        <f t="shared" si="93"/>
        <v>0</v>
      </c>
      <c r="BF46" s="243">
        <f t="shared" si="93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55" t="s">
        <v>35</v>
      </c>
      <c r="CA46" s="22"/>
      <c r="CB46" s="7"/>
      <c r="CC46" s="5"/>
      <c r="CD46" s="5"/>
      <c r="CE46" s="5"/>
      <c r="CF46" s="18"/>
      <c r="CG46" s="34">
        <f t="shared" si="87"/>
      </c>
      <c r="CH46" s="2">
        <f t="shared" si="92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62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83"/>
        <v>0</v>
      </c>
      <c r="AY47" s="105">
        <f t="shared" si="84"/>
        <v>0</v>
      </c>
      <c r="BA47" s="241">
        <f aca="true" t="shared" si="94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94"/>
        <v>0</v>
      </c>
      <c r="BC47" s="242">
        <f t="shared" si="94"/>
        <v>0</v>
      </c>
      <c r="BD47" s="242">
        <f t="shared" si="94"/>
        <v>0</v>
      </c>
      <c r="BE47" s="242">
        <f t="shared" si="94"/>
        <v>0</v>
      </c>
      <c r="BF47" s="243">
        <f t="shared" si="94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57"/>
      <c r="CA47" s="22"/>
      <c r="CB47" s="7"/>
      <c r="CC47" s="5"/>
      <c r="CD47" s="5"/>
      <c r="CE47" s="5"/>
      <c r="CF47" s="18"/>
      <c r="CG47" s="34">
        <f t="shared" si="87"/>
      </c>
      <c r="CH47" s="2">
        <f t="shared" si="92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63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83"/>
        <v>0</v>
      </c>
      <c r="AY48" s="105">
        <f t="shared" si="84"/>
        <v>0</v>
      </c>
      <c r="BA48" s="241" t="str">
        <f aca="true" t="shared" si="95" ref="BA48:BF48">IF(BA31="General","G",(IF(BA31="Agility","A",(IF(BA31="Passing","P",(IF(BA31="Strength","S",(IF(BA31="Mutation","M",(IF(BA31="Increase30",30,(IF(BA31="Increase40",40,(IF(BA31="Increase50",50,0)))))))))))))))</f>
        <v>A</v>
      </c>
      <c r="BB48" s="242">
        <f t="shared" si="95"/>
        <v>40</v>
      </c>
      <c r="BC48" s="242">
        <f t="shared" si="95"/>
        <v>0</v>
      </c>
      <c r="BD48" s="242">
        <f t="shared" si="95"/>
        <v>0</v>
      </c>
      <c r="BE48" s="242">
        <f t="shared" si="95"/>
        <v>0</v>
      </c>
      <c r="BF48" s="243">
        <f t="shared" si="95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61" t="s">
        <v>135</v>
      </c>
      <c r="CA48" s="22"/>
      <c r="CB48" s="7"/>
      <c r="CC48" s="5"/>
      <c r="CD48" s="5"/>
      <c r="CE48" s="5"/>
      <c r="CF48" s="18"/>
      <c r="CG48" s="34">
        <f t="shared" si="87"/>
      </c>
      <c r="CH48" s="2">
        <f t="shared" si="92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55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83"/>
        <v>0</v>
      </c>
      <c r="AY49" s="105">
        <f t="shared" si="84"/>
        <v>0</v>
      </c>
      <c r="BA49" s="241" t="str">
        <f aca="true" t="shared" si="96" ref="BA49:BF49">IF(BA32="General","G",(IF(BA32="Agility","A",(IF(BA32="Passing","P",(IF(BA32="Strength","S",(IF(BA32="Mutation","M",(IF(BA32="Increase30",30,(IF(BA32="Increase40",40,(IF(BA32="Increase50",50,0)))))))))))))))</f>
        <v>A</v>
      </c>
      <c r="BB49" s="242">
        <f t="shared" si="96"/>
        <v>0</v>
      </c>
      <c r="BC49" s="242">
        <f t="shared" si="96"/>
        <v>0</v>
      </c>
      <c r="BD49" s="242">
        <f t="shared" si="96"/>
        <v>0</v>
      </c>
      <c r="BE49" s="242">
        <f t="shared" si="96"/>
        <v>0</v>
      </c>
      <c r="BF49" s="243">
        <f t="shared" si="96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62"/>
      <c r="CA49" s="22"/>
      <c r="CB49" s="7"/>
      <c r="CC49" s="5"/>
      <c r="CD49" s="5"/>
      <c r="CE49" s="5"/>
      <c r="CF49" s="18"/>
      <c r="CG49" s="34">
        <f t="shared" si="87"/>
      </c>
      <c r="CH49" s="2">
        <f t="shared" si="92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56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83"/>
        <v>0</v>
      </c>
      <c r="AY50" s="105">
        <f t="shared" si="84"/>
        <v>0</v>
      </c>
      <c r="BA50" s="241" t="str">
        <f aca="true" t="shared" si="97" ref="BA50:BF50">IF(BA33="General","G",(IF(BA33="Agility","A",(IF(BA33="Passing","P",(IF(BA33="Strength","S",(IF(BA33="Mutation","M",(IF(BA33="Increase30",30,(IF(BA33="Increase40",40,(IF(BA33="Increase50",50,0)))))))))))))))</f>
        <v>G</v>
      </c>
      <c r="BB50" s="242" t="str">
        <f t="shared" si="97"/>
        <v>G</v>
      </c>
      <c r="BC50" s="242">
        <f t="shared" si="97"/>
        <v>0</v>
      </c>
      <c r="BD50" s="242">
        <f t="shared" si="97"/>
        <v>0</v>
      </c>
      <c r="BE50" s="242">
        <f t="shared" si="97"/>
        <v>0</v>
      </c>
      <c r="BF50" s="243">
        <f t="shared" si="97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62"/>
      <c r="CA50" s="22"/>
      <c r="CC50" s="18"/>
      <c r="CD50" s="18"/>
      <c r="CE50" s="18"/>
      <c r="CF50" s="18"/>
      <c r="CG50" s="34">
        <f t="shared" si="87"/>
      </c>
      <c r="CH50" s="2">
        <f t="shared" si="92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56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83"/>
        <v>0</v>
      </c>
      <c r="AY51" s="105">
        <f t="shared" si="84"/>
        <v>0</v>
      </c>
      <c r="BA51" s="241">
        <f aca="true" t="shared" si="98" ref="BA51:BF51">IF(BA34="General","G",(IF(BA34="Agility","A",(IF(BA34="Passing","P",(IF(BA34="Strength","S",(IF(BA34="Mutation","M",(IF(BA34="Increase30",30,(IF(BA34="Increase40",40,(IF(BA34="Increase50",50,0)))))))))))))))</f>
        <v>0</v>
      </c>
      <c r="BB51" s="242">
        <f t="shared" si="98"/>
        <v>0</v>
      </c>
      <c r="BC51" s="242">
        <f t="shared" si="98"/>
        <v>0</v>
      </c>
      <c r="BD51" s="242">
        <f t="shared" si="98"/>
        <v>0</v>
      </c>
      <c r="BE51" s="242">
        <f t="shared" si="98"/>
        <v>0</v>
      </c>
      <c r="BF51" s="243">
        <f t="shared" si="98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63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56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83"/>
        <v>0</v>
      </c>
      <c r="AY52" s="105">
        <f t="shared" si="84"/>
        <v>0</v>
      </c>
      <c r="BA52" s="241">
        <f aca="true" t="shared" si="99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99"/>
        <v>0</v>
      </c>
      <c r="BC52" s="242">
        <f t="shared" si="99"/>
        <v>0</v>
      </c>
      <c r="BD52" s="242">
        <f t="shared" si="99"/>
        <v>0</v>
      </c>
      <c r="BE52" s="242">
        <f t="shared" si="99"/>
        <v>0</v>
      </c>
      <c r="BF52" s="243">
        <f t="shared" si="99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55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57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83"/>
        <v>0</v>
      </c>
      <c r="AY53" s="105">
        <f t="shared" si="84"/>
        <v>0</v>
      </c>
      <c r="BA53" s="241">
        <f aca="true" t="shared" si="100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100"/>
        <v>0</v>
      </c>
      <c r="BC53" s="242">
        <f t="shared" si="100"/>
        <v>0</v>
      </c>
      <c r="BD53" s="242">
        <f t="shared" si="100"/>
        <v>0</v>
      </c>
      <c r="BE53" s="242">
        <f t="shared" si="100"/>
        <v>0</v>
      </c>
      <c r="BF53" s="243">
        <f t="shared" si="100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56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61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83"/>
        <v>0</v>
      </c>
      <c r="AY54" s="105">
        <f t="shared" si="84"/>
        <v>0</v>
      </c>
      <c r="BA54" s="244">
        <f aca="true" t="shared" si="101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101"/>
        <v>0</v>
      </c>
      <c r="BC54" s="245">
        <f t="shared" si="101"/>
        <v>0</v>
      </c>
      <c r="BD54" s="245">
        <f t="shared" si="101"/>
        <v>0</v>
      </c>
      <c r="BE54" s="245">
        <f t="shared" si="101"/>
        <v>0</v>
      </c>
      <c r="BF54" s="246">
        <f t="shared" si="101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56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62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56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62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57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63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61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55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62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56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62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57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63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61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55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62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56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62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57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62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61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63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62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55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62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56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62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56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63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56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55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56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56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57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56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61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56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62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56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62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57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63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61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55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62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57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62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61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63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62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55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62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57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62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61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62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62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63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62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55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62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56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62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56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63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56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55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57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56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58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56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59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56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59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57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60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58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61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59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62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59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62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60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62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61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63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62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58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62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59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62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59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63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59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58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60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59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55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59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56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59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61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60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62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55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62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56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62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61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63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62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62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62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63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  <mergeCell ref="AC38:AD38"/>
    <mergeCell ref="X33:AA33"/>
    <mergeCell ref="AC33:AD33"/>
    <mergeCell ref="X34:AA34"/>
    <mergeCell ref="AC34:AD34"/>
    <mergeCell ref="X35:AA35"/>
    <mergeCell ref="AC35:AD35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E26:I26"/>
    <mergeCell ref="C25:D25"/>
    <mergeCell ref="C26:D26"/>
    <mergeCell ref="C27:D27"/>
    <mergeCell ref="C28:D28"/>
    <mergeCell ref="E27:I27"/>
    <mergeCell ref="E28:I28"/>
    <mergeCell ref="BZ4:BZ7"/>
    <mergeCell ref="BZ8:BZ10"/>
    <mergeCell ref="BZ40:BZ45"/>
    <mergeCell ref="BZ31:BZ35"/>
    <mergeCell ref="BZ11:BZ14"/>
    <mergeCell ref="BZ36:BZ39"/>
    <mergeCell ref="BZ27:BZ30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DT4:DT7"/>
    <mergeCell ref="DT8:DT10"/>
    <mergeCell ref="DT11:DT14"/>
    <mergeCell ref="DT22:DT26"/>
    <mergeCell ref="DT27:DT31"/>
    <mergeCell ref="DT15:DT21"/>
    <mergeCell ref="DT32:DT35"/>
    <mergeCell ref="DT36:DT41"/>
    <mergeCell ref="DT42:DT43"/>
    <mergeCell ref="DT44:DT47"/>
    <mergeCell ref="DT48:DT52"/>
    <mergeCell ref="DT53:DT56"/>
    <mergeCell ref="DT57:DT59"/>
    <mergeCell ref="DT60:DT64"/>
    <mergeCell ref="DT65:DT70"/>
    <mergeCell ref="DT71:DT74"/>
    <mergeCell ref="DT75:DT76"/>
    <mergeCell ref="DT77:DT82"/>
    <mergeCell ref="DT83:DT87"/>
    <mergeCell ref="DT88:DT91"/>
    <mergeCell ref="DT92:DT96"/>
    <mergeCell ref="DT97:DT101"/>
    <mergeCell ref="DT102:DT103"/>
    <mergeCell ref="DT104:DT10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Marco</cp:lastModifiedBy>
  <cp:lastPrinted>2012-10-07T02:37:44Z</cp:lastPrinted>
  <dcterms:created xsi:type="dcterms:W3CDTF">2001-02-12T07:17:33Z</dcterms:created>
  <dcterms:modified xsi:type="dcterms:W3CDTF">2015-06-15T11:12:01Z</dcterms:modified>
  <cp:category/>
  <cp:version/>
  <cp:contentType/>
  <cp:contentStatus/>
</cp:coreProperties>
</file>