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72" yWindow="32767" windowWidth="15480" windowHeight="11640" tabRatio="248" activeTab="0"/>
  </bookViews>
  <sheets>
    <sheet name="Luccini 2019" sheetId="1" r:id="rId1"/>
    <sheet name="Macro" sheetId="2" state="hidden" r:id="rId2"/>
    <sheet name="MacroLega" sheetId="3" state="hidden" r:id="rId3"/>
  </sheets>
  <definedNames>
    <definedName name="_xlnm.Print_Area" localSheetId="0">'Luccini 2019'!$B$2:$AE$29</definedName>
    <definedName name="_xlnm.Print_Area" localSheetId="1">'Macro'!$B$1:$G$27</definedName>
    <definedName name="Z_C4D5DB5D_809B_11DB_A9B3_000A95C8D49C_.wvu.Cols" localSheetId="0" hidden="1">'Luccini 2019'!#REF!</definedName>
    <definedName name="Z_C4D5DB5D_809B_11DB_A9B3_000A95C8D49C_.wvu.Cols" localSheetId="1" hidden="1">'Macro'!$I:$IV</definedName>
    <definedName name="Z_C4D5DB5D_809B_11DB_A9B3_000A95C8D49C_.wvu.PrintArea" localSheetId="0" hidden="1">'Luccini 2019'!$C$3:$AE$29</definedName>
    <definedName name="Z_C4D5DB5D_809B_11DB_A9B3_000A95C8D49C_.wvu.PrintArea" localSheetId="1" hidden="1">'Macro'!$B$1:$G$27</definedName>
  </definedNames>
  <calcPr fullCalcOnLoad="1"/>
</workbook>
</file>

<file path=xl/comments1.xml><?xml version="1.0" encoding="utf-8"?>
<comments xmlns="http://schemas.openxmlformats.org/spreadsheetml/2006/main">
  <authors>
    <author>Andrea Parrella</author>
  </authors>
  <commentList>
    <comment ref="Q4" authorId="0">
      <text>
        <r>
          <rPr>
            <b/>
            <sz val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  <comment ref="L4" authorId="0">
      <text>
        <r>
          <rPr>
            <b/>
            <sz val="8"/>
            <rFont val="Tahoma"/>
            <family val="2"/>
          </rPr>
          <t>Inserisci:
M = Miss Next Game</t>
        </r>
      </text>
    </comment>
    <comment ref="M4" authorId="0">
      <text>
        <r>
          <rPr>
            <b/>
            <sz val="8"/>
            <rFont val="Tahoma"/>
            <family val="2"/>
          </rPr>
          <t>Inserisci il Numero di
NIGGLING subiti</t>
        </r>
      </text>
    </comment>
  </commentList>
</comments>
</file>

<file path=xl/sharedStrings.xml><?xml version="1.0" encoding="utf-8"?>
<sst xmlns="http://schemas.openxmlformats.org/spreadsheetml/2006/main" count="2135" uniqueCount="921">
  <si>
    <t>*Hemlock</t>
  </si>
  <si>
    <t>*Wilhelm Chaney</t>
  </si>
  <si>
    <t>*Setekh</t>
  </si>
  <si>
    <t>*Ramtut III</t>
  </si>
  <si>
    <t>GAPM</t>
  </si>
  <si>
    <t>*Brick Far’th **</t>
  </si>
  <si>
    <t>*Grotty **</t>
  </si>
  <si>
    <t>CAPITANO</t>
  </si>
  <si>
    <t>Infortunati</t>
  </si>
  <si>
    <t>RAZZA</t>
  </si>
  <si>
    <t>D</t>
  </si>
  <si>
    <t>P</t>
  </si>
  <si>
    <t>*Hack Enslash</t>
  </si>
  <si>
    <t>G</t>
  </si>
  <si>
    <t>AV</t>
  </si>
  <si>
    <t>N</t>
  </si>
  <si>
    <t>Int</t>
  </si>
  <si>
    <t>Troll</t>
  </si>
  <si>
    <t>Kroxigor</t>
  </si>
  <si>
    <t>MA</t>
  </si>
  <si>
    <t>ST</t>
  </si>
  <si>
    <t>AG</t>
  </si>
  <si>
    <t>*Boomer Eziasson</t>
  </si>
  <si>
    <t>*Slibli</t>
  </si>
  <si>
    <t>GAP</t>
  </si>
  <si>
    <t>Vampire</t>
  </si>
  <si>
    <t>Valutazione</t>
  </si>
  <si>
    <t>Goblin</t>
  </si>
  <si>
    <t>Chaos</t>
  </si>
  <si>
    <t>Halfling</t>
  </si>
  <si>
    <t>Norse</t>
  </si>
  <si>
    <t>Skaven</t>
  </si>
  <si>
    <t>Wardancer</t>
  </si>
  <si>
    <t>SQUADRA</t>
  </si>
  <si>
    <t>*Helmut Wulf</t>
  </si>
  <si>
    <t>A</t>
  </si>
  <si>
    <t>APM</t>
  </si>
  <si>
    <t>GM</t>
  </si>
  <si>
    <t>Ogre</t>
  </si>
  <si>
    <t>Nurgle</t>
  </si>
  <si>
    <t>*Deeproot Strongbranch</t>
  </si>
  <si>
    <t>ALLENATORE</t>
  </si>
  <si>
    <t>Comp</t>
  </si>
  <si>
    <t>TD</t>
  </si>
  <si>
    <t>Cas</t>
  </si>
  <si>
    <t>MVP</t>
  </si>
  <si>
    <t>SPP</t>
  </si>
  <si>
    <t>x</t>
  </si>
  <si>
    <t>CHEERLEADERS</t>
  </si>
  <si>
    <t>TEAM RATING</t>
  </si>
  <si>
    <t>*Bomber Dribblesnot</t>
  </si>
  <si>
    <t>*Ugroth Bolgrot</t>
  </si>
  <si>
    <t>GP</t>
  </si>
  <si>
    <t>AP</t>
  </si>
  <si>
    <t>GA</t>
  </si>
  <si>
    <t>ASP</t>
  </si>
  <si>
    <t>AS</t>
  </si>
  <si>
    <t>SP</t>
  </si>
  <si>
    <t>GS</t>
  </si>
  <si>
    <t>Dodge</t>
  </si>
  <si>
    <t>Dodge, Pass</t>
  </si>
  <si>
    <t>Dodge, Catch</t>
  </si>
  <si>
    <t>Dodge, Block</t>
  </si>
  <si>
    <t>Amazon</t>
  </si>
  <si>
    <t>Minotaur</t>
  </si>
  <si>
    <t>Horns</t>
  </si>
  <si>
    <t>Loner, Frenzy, Horns, Mighty Blow, Thick Skull, Wild Animal</t>
  </si>
  <si>
    <t>GSM</t>
  </si>
  <si>
    <t>SM</t>
  </si>
  <si>
    <t>Chaos Dwarf</t>
  </si>
  <si>
    <t>Chaos Dwarf Blocker</t>
  </si>
  <si>
    <t>Block, Tackle, Thick Skull</t>
  </si>
  <si>
    <t>Sprint, Sure Feet, Thick Skull</t>
  </si>
  <si>
    <t>S</t>
  </si>
  <si>
    <t>Dark Elf</t>
  </si>
  <si>
    <t>Block</t>
  </si>
  <si>
    <t>Dump-Off</t>
  </si>
  <si>
    <t>Assassin</t>
  </si>
  <si>
    <t>Shadowing, Stab</t>
  </si>
  <si>
    <t>Witch Elf</t>
  </si>
  <si>
    <t>Frenzy, Dodge, Jump Up</t>
  </si>
  <si>
    <t>Dwarf</t>
  </si>
  <si>
    <t>Troll Slayer</t>
  </si>
  <si>
    <t>Deathroller</t>
  </si>
  <si>
    <t>Sure Hands, Thick Skull</t>
  </si>
  <si>
    <t>Block, Thick Skull</t>
  </si>
  <si>
    <t>Block, Dauntless, Frenzy, Thick Skull</t>
  </si>
  <si>
    <t>Block, Side Step</t>
  </si>
  <si>
    <t>Catch, Nerves of Steel</t>
  </si>
  <si>
    <t>Pass</t>
  </si>
  <si>
    <t>Pogoer</t>
  </si>
  <si>
    <t>Looney</t>
  </si>
  <si>
    <t>Fanatic</t>
  </si>
  <si>
    <t>Dodge, Right Stuff, Stunty</t>
  </si>
  <si>
    <t>Ball &amp; Chain, No Hands, Secret Weapon, Stunty</t>
  </si>
  <si>
    <t>Loner, Always Hungry, Mighty Blow, Really Stupid, Regeneration, Throw Team-Mate</t>
  </si>
  <si>
    <t>GSP</t>
  </si>
  <si>
    <t>Treeman</t>
  </si>
  <si>
    <t>High Elf</t>
  </si>
  <si>
    <t>Pass, Safe Throw</t>
  </si>
  <si>
    <t>Catch</t>
  </si>
  <si>
    <t>Human</t>
  </si>
  <si>
    <t>Catch, Dodge</t>
  </si>
  <si>
    <t>Pass, Sure Hands</t>
  </si>
  <si>
    <t>Sure Hands, Pass</t>
  </si>
  <si>
    <t>Loner, Bone-head, Mighty Blow, Thick Skull, Throw Team-Mate</t>
  </si>
  <si>
    <t>Mummy</t>
  </si>
  <si>
    <t>Regeneration</t>
  </si>
  <si>
    <t>Pass, Regeneration, Sure Hands</t>
  </si>
  <si>
    <t>Block, Regeneration</t>
  </si>
  <si>
    <t>Mighty Blow, Regeneration</t>
  </si>
  <si>
    <t>Lizardman</t>
  </si>
  <si>
    <t>Dodge, Stunty</t>
  </si>
  <si>
    <t>Loner, Bone-head, Mighty Blow, Prehensile Tail, Thick Skull</t>
  </si>
  <si>
    <t>Zombie</t>
  </si>
  <si>
    <t>Flesh Golem</t>
  </si>
  <si>
    <t>Werewolf</t>
  </si>
  <si>
    <t>Regeneration, Stand Firm, Thick Skull</t>
  </si>
  <si>
    <t>Claws, Frenzy, Regeneration</t>
  </si>
  <si>
    <t>Block, Pass</t>
  </si>
  <si>
    <t>Block, Dauntless</t>
  </si>
  <si>
    <t>Block, Frenzy, Jump Up</t>
  </si>
  <si>
    <t>Frenzy</t>
  </si>
  <si>
    <t>Loner, Claws, Disturbing Presence, Frenzy, Wild Animal</t>
  </si>
  <si>
    <t>Rotter</t>
  </si>
  <si>
    <t>Pestigor</t>
  </si>
  <si>
    <t>Decay, Nurgle's Rot</t>
  </si>
  <si>
    <t>Horns, Nurgle's Rot, Regeneration</t>
  </si>
  <si>
    <t>Disturbing Presence, Foul Appearance, Nurgle's Rot, Regeneration</t>
  </si>
  <si>
    <t>Loner, Disturbing Presence, Foul Appearance, Mighty Blow, Nurgle's Rot, Really Stupid, Regeneration, Tentacles</t>
  </si>
  <si>
    <t>Categorie delle Abilità</t>
  </si>
  <si>
    <t>Dodge, Right Stuff, Side Step, Stunty, Titchy</t>
  </si>
  <si>
    <t>Ogre°</t>
  </si>
  <si>
    <t>Bone-head, Mighty Blow, Thick Skull, Throw Team-Mate</t>
  </si>
  <si>
    <t>Orc</t>
  </si>
  <si>
    <t>Black Orc Blocker</t>
  </si>
  <si>
    <t>Gutter Runner</t>
  </si>
  <si>
    <t>Rat Ogre</t>
  </si>
  <si>
    <t>Loner, Frenzy, Mighty Blow, Prehensile Tail, Wild Animal</t>
  </si>
  <si>
    <t>ASPM</t>
  </si>
  <si>
    <t>ASM</t>
  </si>
  <si>
    <t>SPM</t>
  </si>
  <si>
    <t>Blood Lust, Hypnotic Gaze, Regeneration</t>
  </si>
  <si>
    <t>GAS</t>
  </si>
  <si>
    <t>Wood Elf</t>
  </si>
  <si>
    <t>Block, Dodge, Leap</t>
  </si>
  <si>
    <t>11-38 || BH || Partita Finita</t>
  </si>
  <si>
    <t>41-48 || SI || Miss Next Game</t>
  </si>
  <si>
    <t>Tabella degli Infortuni</t>
  </si>
  <si>
    <t>FAN FACTOR</t>
  </si>
  <si>
    <t>RE-ROLLS</t>
  </si>
  <si>
    <t>No.</t>
  </si>
  <si>
    <t>Players Name</t>
  </si>
  <si>
    <t>Position</t>
  </si>
  <si>
    <t>VA</t>
  </si>
  <si>
    <t>Standard Skills</t>
  </si>
  <si>
    <t>Upgrades</t>
  </si>
  <si>
    <t>COSTI EXTRA</t>
  </si>
  <si>
    <t>COSTO DEI GIOCATORI</t>
  </si>
  <si>
    <t>ASSISTANT COACHES</t>
  </si>
  <si>
    <t>LEGA - TORNEO</t>
  </si>
  <si>
    <t>G -&gt; Generali</t>
  </si>
  <si>
    <t>A -&gt; Agilità</t>
  </si>
  <si>
    <t>P -&gt; Passaggio</t>
  </si>
  <si>
    <t>S -&gt; Forza</t>
  </si>
  <si>
    <t>M -&gt; Mutazioni</t>
  </si>
  <si>
    <t>Block (Blocco)</t>
  </si>
  <si>
    <t>Dauntless (Incosciente)</t>
  </si>
  <si>
    <t>Dirty Player (Gioco sporco)</t>
  </si>
  <si>
    <t>Fend (Arresto)</t>
  </si>
  <si>
    <t>Frenzy (Furia)</t>
  </si>
  <si>
    <t>Kick (Calcio)</t>
  </si>
  <si>
    <t>Shadowing (Marcare)</t>
  </si>
  <si>
    <t>Pass Block (Interferenza)</t>
  </si>
  <si>
    <t>Strip Ball (Rubar palla)</t>
  </si>
  <si>
    <t>Sure Hands (Presa sicura)</t>
  </si>
  <si>
    <t>Tackle (Placcaggio)</t>
  </si>
  <si>
    <t>Wrestle (Lottare)</t>
  </si>
  <si>
    <t>Pro (Pro)</t>
  </si>
  <si>
    <t>Kick-Off Return (Ritorno K-O)</t>
  </si>
  <si>
    <t>Catch (Ricezione)</t>
  </si>
  <si>
    <t>Diving Catch (Ricez. in tuffo)</t>
  </si>
  <si>
    <t>Diving Tackle (Placc. in tuffo)</t>
  </si>
  <si>
    <t>Dodge (Smarcarsi)</t>
  </si>
  <si>
    <t>Jump Up (Saltar su)</t>
  </si>
  <si>
    <t>Leap (Balzo)</t>
  </si>
  <si>
    <t>Sneaky Git (Fallo furtivo)</t>
  </si>
  <si>
    <t>Sure Feet (Piè fermo)</t>
  </si>
  <si>
    <t>Sprint (Scattare)</t>
  </si>
  <si>
    <t>Side Step (Schivare)</t>
  </si>
  <si>
    <t>Accurate (Accurato)</t>
  </si>
  <si>
    <t>Hail Mary Pass (Lancio disper.)</t>
  </si>
  <si>
    <t>Pass (Passare)</t>
  </si>
  <si>
    <t>Dump-Off (Scaricare)</t>
  </si>
  <si>
    <t>Nerves of Steel (Nervi d’acciaio)</t>
  </si>
  <si>
    <t>Safe Throw (Lancio sicuro)</t>
  </si>
  <si>
    <t>Leader (Capitano)</t>
  </si>
  <si>
    <t>Multiple Block (Blocco multiplo)</t>
  </si>
  <si>
    <t>Strong Arm (Braccio forte)</t>
  </si>
  <si>
    <t>Mighty Blow (Colpo possente)</t>
  </si>
  <si>
    <t>Guard (Guardia)</t>
  </si>
  <si>
    <t>Stand Firm (Massiccio)</t>
  </si>
  <si>
    <t>Grab (Trascinare)</t>
  </si>
  <si>
    <t>Piling On (Schiacciare)</t>
  </si>
  <si>
    <t>Juggernaut (Inarrestabile)</t>
  </si>
  <si>
    <t>Break Tackle (Rompere marc.)</t>
  </si>
  <si>
    <t>Thick Skull (Pelle dura)</t>
  </si>
  <si>
    <t>Two Heads (Due teste)</t>
  </si>
  <si>
    <t>Disturbing Presence (Fastidioso)</t>
  </si>
  <si>
    <t>Big Hand (Manona)</t>
  </si>
  <si>
    <t>Tentacles (Tentacoli)</t>
  </si>
  <si>
    <t>Very Long Legs (Gambe lunghe)</t>
  </si>
  <si>
    <t>Horns (Corna)</t>
  </si>
  <si>
    <t>Prehensile Tail (Coda prensile)</t>
  </si>
  <si>
    <t>Claws (Artigli)</t>
  </si>
  <si>
    <t>Extra Arms (Braccia in più)</t>
  </si>
  <si>
    <t>Foul Appearance (Repellente)</t>
  </si>
  <si>
    <t>Sk</t>
  </si>
  <si>
    <t>*Barik Farblast</t>
  </si>
  <si>
    <t>Loner, Hail Mary Pass, Pass, Secret Weapon, Strong Arm, Sure Hands, Thick Skull</t>
  </si>
  <si>
    <t>Loner, Bone-head, Mighty Blow, Nerves of Steel, Strong Arm, Thick Skull, Throw Team-Mate</t>
  </si>
  <si>
    <t>Loner, Dodge, Right Stuff, Stunty</t>
  </si>
  <si>
    <t>Loner, Block, Mighty Blow, Stand Firm, Strong Arm, Thick Skull, Throw Team-Mate</t>
  </si>
  <si>
    <t>*Flint Churnblade</t>
  </si>
  <si>
    <t>*Fungus the Loon</t>
  </si>
  <si>
    <t>Loner, Ball &amp; Chain, Mighty Blow, No Hands, Secret Weapon, Stunty</t>
  </si>
  <si>
    <t>*Grashnak Blackhoof</t>
  </si>
  <si>
    <t>Loner, Frenzy, Horns, Mighty Blow, Thick Skull</t>
  </si>
  <si>
    <t>Loner, Block, Dodge, Fend, Sprint, Sure Feet</t>
  </si>
  <si>
    <t>Loner, Dodge, Extra Arms, Prehensile Tail, Two Heads</t>
  </si>
  <si>
    <t>*Headsplitter</t>
  </si>
  <si>
    <t>Loner, Frenzy, Mighty Blow, Prehensile Tail</t>
  </si>
  <si>
    <t>Loner, Block, Dodge, Side Step, Jump Up, Stab, Stunty</t>
  </si>
  <si>
    <t>*Horkon Heartripper</t>
  </si>
  <si>
    <t>Loner, Dodge, Leap, Multiple Block, Shadowing, Stab</t>
  </si>
  <si>
    <t>*Hthark the Unstoppable</t>
  </si>
  <si>
    <t>Loner, Block, Break Tackle, Juggernaut, Sprint, Sure Feet, Thick Skull</t>
  </si>
  <si>
    <t>*Lord Borak the Despoiler</t>
  </si>
  <si>
    <t>*Max Spleenripper</t>
  </si>
  <si>
    <t>*Nobbla Blackwart</t>
  </si>
  <si>
    <t>*Puggy Baconbreath</t>
  </si>
  <si>
    <t>*Rashnak Backstabber</t>
  </si>
  <si>
    <t>*Scrappa Sorehead</t>
  </si>
  <si>
    <t>*Skitter Stab-Stab</t>
  </si>
  <si>
    <t>*Zara the Slayer</t>
  </si>
  <si>
    <t>*Zzharg Madeye</t>
  </si>
  <si>
    <t>*Icepelt Hammerblow</t>
  </si>
  <si>
    <t>*Count Luthor Von Drakenborg</t>
  </si>
  <si>
    <t>Loner, Block, Dirty Player, Jump Up, Mighty Blow, Strip Ball</t>
  </si>
  <si>
    <t>Loner, Block, Diving Catch, Dodge, Leap, Side Step</t>
  </si>
  <si>
    <t>Loner, Block, Dirty Player, Mighty Blow</t>
  </si>
  <si>
    <t>Loner, Block, Mighty Blow</t>
  </si>
  <si>
    <t>Loner, Block, Mighty Blow, Thick Skull, Throw Team-Mate</t>
  </si>
  <si>
    <t>Loner, Block, Dauntless, Tackle, Wrestle</t>
  </si>
  <si>
    <t>Loner, Block, Dodge, Nerves of Steel, Right Stuff, Stunty</t>
  </si>
  <si>
    <t>Loner, Break Tackle, Mighty Blow, Regeneration, Wrestle</t>
  </si>
  <si>
    <t>Loner, Dodge, Side Step, Sneaky Git, Stab</t>
  </si>
  <si>
    <t>Loner, Grab, Mighty Blow, Regeneration, Throw Team-Mate</t>
  </si>
  <si>
    <t>Loner, Block, Break Tackle, Juggernaut, Regeneration, Strip Ball</t>
  </si>
  <si>
    <t>Loner, Block, Grab, Guard, Stand Firm</t>
  </si>
  <si>
    <t>Loner, Dodge, Prehensile Tail, Shadowing, Stab</t>
  </si>
  <si>
    <t>Loner, Block, Jump Up, Mighty Blow, Thick Skull</t>
  </si>
  <si>
    <t>Loner, Catch, Claws, Frenzy, Regeneration, Wrestle</t>
  </si>
  <si>
    <t>Loner, Block, Dauntless, Dodge, Jump Up, Stab, Stakes</t>
  </si>
  <si>
    <t>Loner, Hail Mary Pass, Pass, Secret Weapon, Strong Arm, Sure Hands, Tackle, Thick Skull</t>
  </si>
  <si>
    <t>TESORERIA</t>
  </si>
  <si>
    <t>TOTALE VALORE DELLA SQUADRA</t>
  </si>
  <si>
    <t>E-MAIL</t>
  </si>
  <si>
    <t>Always Hungry (Sempre affamato)</t>
  </si>
  <si>
    <t>Ball &amp; Chain (Palla e Catena)</t>
  </si>
  <si>
    <t>Blood Lust (Sete di sangue)</t>
  </si>
  <si>
    <t>Bombardier (Bombarolo)</t>
  </si>
  <si>
    <t>Chainsaw (Motosega)</t>
  </si>
  <si>
    <t>Hypnotic Gaze (Sguardo ipnotico)</t>
  </si>
  <si>
    <t>Loner (Solitario)</t>
  </si>
  <si>
    <t>No Hands (Senza mani)</t>
  </si>
  <si>
    <t>Regeneration (Rigenerazione)</t>
  </si>
  <si>
    <t>Right Stuff (Lanciami)</t>
  </si>
  <si>
    <t>Secret Weapon (Arma segreta)</t>
  </si>
  <si>
    <t>Stakes (Paletto)</t>
  </si>
  <si>
    <t>Stunty (Piccoletto)</t>
  </si>
  <si>
    <t>Throw Team-Mate (Lanciare compagni)</t>
  </si>
  <si>
    <t>Wild Animal (Animale selvaggio)</t>
  </si>
  <si>
    <t>Bone-head (Tonto)</t>
  </si>
  <si>
    <t>Really Stupid (Stupido)</t>
  </si>
  <si>
    <t>Take Root (Mette radici)</t>
  </si>
  <si>
    <t>Titchy (Minuscolo)</t>
  </si>
  <si>
    <t>Nurgle's Rot (Cancrena di Nurgle)</t>
  </si>
  <si>
    <t>Decay (Marcio)</t>
  </si>
  <si>
    <t>Stab (Pugnale)</t>
  </si>
  <si>
    <t>Fan Favourite (Idolo dei tifosi)</t>
  </si>
  <si>
    <t>M</t>
  </si>
  <si>
    <t>Inc.</t>
  </si>
  <si>
    <t>Animosity</t>
  </si>
  <si>
    <t>GSPM</t>
  </si>
  <si>
    <t>AM</t>
  </si>
  <si>
    <t>GAM</t>
  </si>
  <si>
    <t>Slann</t>
  </si>
  <si>
    <t>Leap, Very Long Legs</t>
  </si>
  <si>
    <t>Diving Catch, Leap, Very Long Legs</t>
  </si>
  <si>
    <t>Diving Tackle, Jump Up, Leap, Very Long Legs</t>
  </si>
  <si>
    <t>Animosity, Pass, Sure Hands</t>
  </si>
  <si>
    <t>Animosity, Block</t>
  </si>
  <si>
    <t>Animosity, Dodge, Right Stuff, Stunty</t>
  </si>
  <si>
    <t>GPM</t>
  </si>
  <si>
    <t>Underworld</t>
  </si>
  <si>
    <t>E -&gt; Straordinarie</t>
  </si>
  <si>
    <t>Loner, Break Tackle, Dirty Player, Juggernaut, Mighty Blow, No Hands, Secret Weapon, Stand Firm</t>
  </si>
  <si>
    <t>Bombardier, Dodge, Secret Weapon, Stunty</t>
  </si>
  <si>
    <t>Chainsaw, Secret Weapon, Stunty</t>
  </si>
  <si>
    <t>Dodge, Leap, Stunty, Very Long Legs</t>
  </si>
  <si>
    <t>Mighty Blow, Stand Firm, Strong Arm, Take Root, Thick Skull, Throw Team-Mate</t>
  </si>
  <si>
    <t>Regeneration, Thick Skull</t>
  </si>
  <si>
    <t>Tomb Guardian</t>
  </si>
  <si>
    <t>Decay, Regeneration</t>
  </si>
  <si>
    <t>Yhetee</t>
  </si>
  <si>
    <t>Treeman°</t>
  </si>
  <si>
    <t>Catch, Dodge, Sprint</t>
  </si>
  <si>
    <t>*Bertha Bigfist</t>
  </si>
  <si>
    <t>Amazon, Halfling, Ogre</t>
  </si>
  <si>
    <t>Loner, Bone-head, Break Tackle, Dodge, Mighty Blow, Thick Skull, Throw Team-Mate</t>
  </si>
  <si>
    <t>Loner, Accurate, Bombardier, Dodge, Right Stuff, Secret Weapon, Stunty</t>
  </si>
  <si>
    <t>Loner, Accurate, Block, Bombardier, Secret Weapon, Thick Skull</t>
  </si>
  <si>
    <t>Goblin, Ogre, Orc</t>
  </si>
  <si>
    <t>Dwarf, Norse</t>
  </si>
  <si>
    <t>Loner, Block, Hypnotic Gaze, Regeneration, Side Step</t>
  </si>
  <si>
    <t>*Crazy Igor</t>
  </si>
  <si>
    <t>Loner, Dauntless, Regeneration, Thick Skull</t>
  </si>
  <si>
    <t>*Dolfar Longstride</t>
  </si>
  <si>
    <t>Loner, Diving Catch, Hail Mary Pass, Kick, Kick-off Return, Pass Block</t>
  </si>
  <si>
    <t>Loner, Catch, Dodge, Hypnotic Gaze, Nerves of Steel, Pass Block</t>
  </si>
  <si>
    <t>*Fezglitch</t>
  </si>
  <si>
    <t>Loner, Ball &amp; Chain, Disturbing Presence, Foul Appearance, No Hands, Secret Weapon</t>
  </si>
  <si>
    <t>Loner, Block, Chainsaw, Secret Weapon, Thick Skull</t>
  </si>
  <si>
    <t>*Glart Smashrip Jr.</t>
  </si>
  <si>
    <t>Loner, Block, Claws, Juggernaut</t>
  </si>
  <si>
    <t>Loner, Block, Dauntless, Frenzy, Multiple Block, Thick Skull</t>
  </si>
  <si>
    <t>Loner, Chainsaw, Regeneration, Secret Weapon, Side Step</t>
  </si>
  <si>
    <t>Amazon, Human, Lizardman, Norse, Vampire</t>
  </si>
  <si>
    <t>Loner, Chainsaw, Secret Weapon, Stand Firm</t>
  </si>
  <si>
    <t>*Hubris Rakarth</t>
  </si>
  <si>
    <t>*Humerus Carpal</t>
  </si>
  <si>
    <t>Loner, Catch, Dodge, Regeneration, Nerves of Steel</t>
  </si>
  <si>
    <t>Loner, Claws, Disturbing Presence, Frenzy, Regeneration, Thick Skull</t>
  </si>
  <si>
    <t>*Ithaca Benoin</t>
  </si>
  <si>
    <t>Loner, Accurate, Dump Off, Nerves of Steel, Pass, Regeneration, Sure Hands</t>
  </si>
  <si>
    <t>*J Earlice</t>
  </si>
  <si>
    <t>Loner, Catch, Diving Catch, Dodge, Sprint</t>
  </si>
  <si>
    <t>*Lewdgrip Whiparm</t>
  </si>
  <si>
    <t>Loner, Pass, Strong Arm, Sure Hands, Tentacles</t>
  </si>
  <si>
    <t>*Lottabottol</t>
  </si>
  <si>
    <t>Loner, Catch, Diving Tackle, Jump Up, Leap, Pass Block, Shadowing, Very Long Legs</t>
  </si>
  <si>
    <t>Loner, Chainsaw, Secret Weapon</t>
  </si>
  <si>
    <t>Chaos Dwarf, Goblin, Ogre</t>
  </si>
  <si>
    <t>Loner, Block, Dodge, Chainsaw, Secret Weapon, Stunty</t>
  </si>
  <si>
    <t>Halfling, Human</t>
  </si>
  <si>
    <t>*Quetzal Leap</t>
  </si>
  <si>
    <t>Loner, Catch, Diving Catch, Fend, Kick-off Return, Leap, Nerves of Steel, Very Long Legs</t>
  </si>
  <si>
    <t>Goblin, Orc</t>
  </si>
  <si>
    <t>Amazon, Dark Elf</t>
  </si>
  <si>
    <t>Loner, Dirty Player, Dodge, Leap, Right Stuff, Sprint, Stunty, Sure Feet, Very Long Legs</t>
  </si>
  <si>
    <t>*Sinnedbad</t>
  </si>
  <si>
    <t>Loner, Block, Jump Up, Pass Block, Regeneration, Secret Weapon, Side Step, Stab</t>
  </si>
  <si>
    <t>*Soaren Hightower</t>
  </si>
  <si>
    <t>Loner, Fend, Kick-off Return, Pass, Safe Throw, Sure Hands, Strong Arm</t>
  </si>
  <si>
    <t>Loner, Dauntless, Side Step, Thick Skull</t>
  </si>
  <si>
    <t>*Willow Rosebark</t>
  </si>
  <si>
    <t>Amazon, Halfling, Wood Elf</t>
  </si>
  <si>
    <t>Amazon, Dwarf, Halfling, High Elf, Human, Norse, Wood Elf</t>
  </si>
  <si>
    <t>Minotaur°°</t>
  </si>
  <si>
    <t>Kroxigor°</t>
  </si>
  <si>
    <t>Right Stuff, Dodge, Stunty</t>
  </si>
  <si>
    <t>Skaven, Underworld</t>
  </si>
  <si>
    <t>Lizardman, Slann</t>
  </si>
  <si>
    <t>Goblin°</t>
  </si>
  <si>
    <t>Troll°</t>
  </si>
  <si>
    <t>Loner, Dodge</t>
  </si>
  <si>
    <t>Beastman Journeyman</t>
  </si>
  <si>
    <t>Loner, Horns</t>
  </si>
  <si>
    <t>Hobgoblin Journeyman</t>
  </si>
  <si>
    <t>Loner</t>
  </si>
  <si>
    <t>Blocker Journeyman</t>
  </si>
  <si>
    <t>Loner, Block, Tackle, Thick Skull</t>
  </si>
  <si>
    <t>Goblin Journeyman</t>
  </si>
  <si>
    <t>Halfling Journeyman</t>
  </si>
  <si>
    <t>Skeleton Journeyman°</t>
  </si>
  <si>
    <t>Loner, Regeneration, Thick Skull</t>
  </si>
  <si>
    <t>Skink Journeyman</t>
  </si>
  <si>
    <t>Loner, Dodge, Stunty</t>
  </si>
  <si>
    <t>Zombie Journeyman°</t>
  </si>
  <si>
    <t>Loner, Regeneration</t>
  </si>
  <si>
    <t>Loner, Block</t>
  </si>
  <si>
    <t>Rotter Journeyman</t>
  </si>
  <si>
    <t>Loner, Decay, Nurgle's Rot</t>
  </si>
  <si>
    <t>Snotling Journeyman</t>
  </si>
  <si>
    <t>Loner, Dodge, Right Stuff, Side Step, Stunty, Titchy</t>
  </si>
  <si>
    <t>Loner, Leap, Very Long Legs</t>
  </si>
  <si>
    <t>Skeleton Journeyman</t>
  </si>
  <si>
    <t>Zombie Journeyman</t>
  </si>
  <si>
    <t>Loner, Right Stuff, Dodge, Stunty</t>
  </si>
  <si>
    <t>Thrall Journeyman</t>
  </si>
  <si>
    <t>BB Competition Rules Pack (LRB 6.0)
Team Roster v. 6.2010.1 by andrea.parrella</t>
  </si>
  <si>
    <t>**Cumino</t>
  </si>
  <si>
    <t>**Gollum</t>
  </si>
  <si>
    <t>**Marcelo Alejandro Otero</t>
  </si>
  <si>
    <t>**Alvin</t>
  </si>
  <si>
    <t>**Pedro Medina "The Chair"</t>
  </si>
  <si>
    <t>**Jean Castaneda</t>
  </si>
  <si>
    <t>**Wolf</t>
  </si>
  <si>
    <t>**En-zuma</t>
  </si>
  <si>
    <t xml:space="preserve">**Alahel  "oak" Qwellinir </t>
  </si>
  <si>
    <t>**Joe Kane</t>
  </si>
  <si>
    <t xml:space="preserve">**Raidel Taiyo </t>
  </si>
  <si>
    <t>**Hwol Ammazza Draghi</t>
  </si>
  <si>
    <t>**Allanon</t>
  </si>
  <si>
    <t>**Bollicina</t>
  </si>
  <si>
    <t>**Joèl Nigsedatter</t>
  </si>
  <si>
    <t>**John Norum</t>
  </si>
  <si>
    <t>**Ciuffino</t>
  </si>
  <si>
    <t>**OJ Simpson</t>
  </si>
  <si>
    <t>**Kaen "Baba" Nagò</t>
  </si>
  <si>
    <t>**Killer Kowalski</t>
  </si>
  <si>
    <t>**Super Stellino</t>
  </si>
  <si>
    <t>**Jake the Snake</t>
  </si>
  <si>
    <t>**Riblades Grad</t>
  </si>
  <si>
    <t>**Washington Banton</t>
  </si>
  <si>
    <t>**Rocky Joe</t>
  </si>
  <si>
    <t>**Gambetta Vieinà</t>
  </si>
  <si>
    <t>**Pierogay</t>
  </si>
  <si>
    <t>Loner, Block, Dodge, Strip Ball, Dauntless</t>
  </si>
  <si>
    <t>Loner, Block, Dodge, Leap, Mighty Blow, Tackle, Colpo Strappa Spalle</t>
  </si>
  <si>
    <t>Loner, Dodge, Right Stuff, Stunty, Sure Feet, Sprint, Block</t>
  </si>
  <si>
    <t>Goblin, Orc, Ogre</t>
  </si>
  <si>
    <t>Loner, Catch, Dodge, Block, Sure Feet, Super Star Player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</si>
  <si>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</si>
  <si>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</si>
  <si>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</si>
  <si>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</si>
  <si>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</si>
  <si>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</si>
  <si>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</si>
  <si>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</si>
  <si>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</si>
  <si>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</si>
  <si>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</si>
  <si>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</si>
  <si>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</si>
  <si>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</si>
  <si>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</si>
  <si>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</si>
  <si>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Loner, Block, Dodge, Leader, Stand Firm, Pelle nera</t>
  </si>
  <si>
    <t>Loner, Block, Dirty Player</t>
  </si>
  <si>
    <t>Loner, Block, Dodge, Guard, Mighty Blow, Tackle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</si>
  <si>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</si>
  <si>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</si>
  <si>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</si>
  <si>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</si>
  <si>
    <t>$</t>
  </si>
  <si>
    <t>gp</t>
  </si>
  <si>
    <t>Daemons of Khorne</t>
  </si>
  <si>
    <t>Pit Fighter</t>
  </si>
  <si>
    <t>Bloodletter Daemon</t>
  </si>
  <si>
    <t>Khorne Herald</t>
  </si>
  <si>
    <t>Bloodthirster</t>
  </si>
  <si>
    <t>Pit Fighter Journeyman</t>
  </si>
  <si>
    <t>Horns, Juggernaut, Regeneration</t>
  </si>
  <si>
    <t>Loner, Wild Animal, Claw, Frenzy, Horns, Juggernaut, Regeneration</t>
  </si>
  <si>
    <t>Frenzy, Horns, Juggernaut</t>
  </si>
  <si>
    <t>Daemon of Khorne</t>
  </si>
  <si>
    <t>** Sacro Gatto I</t>
  </si>
  <si>
    <t>**Garrincha</t>
  </si>
  <si>
    <t>** Bruce Dickinson</t>
  </si>
  <si>
    <t>Bretonnia</t>
  </si>
  <si>
    <t>Yeoman</t>
  </si>
  <si>
    <t>Fend</t>
  </si>
  <si>
    <t>Block, Catch, Dauntless</t>
  </si>
  <si>
    <t>Wrestle</t>
  </si>
  <si>
    <t>Vampire, Norse, Skaven, Wood Elf</t>
  </si>
  <si>
    <t>Loner, Hypnotic Gaze, Regeneration, Dodge, Block, Niggling</t>
  </si>
  <si>
    <t>** Garrincha</t>
  </si>
  <si>
    <t>Human, Dwarf, Lizardman</t>
  </si>
  <si>
    <t>Human, Lizardmen, Halfling, Slann</t>
  </si>
  <si>
    <t>Human, Skaven, Bretonnia</t>
  </si>
  <si>
    <t>Skaven, Slann</t>
  </si>
  <si>
    <t>Loner, Block, Regeneration, Dodge, Side Step, Mighty Blow, Tackle</t>
  </si>
  <si>
    <t>Loner, Pass, Sure Hands, Block, Dodge, Leader, Kick-Off Return</t>
  </si>
  <si>
    <t>Loner, Dodge, Right Stuff, Stunty, Sure Landing</t>
  </si>
  <si>
    <t>Orc, Underworld</t>
  </si>
  <si>
    <t>Block, Dauntless, Mighty Blow, Sure Hands</t>
  </si>
  <si>
    <t xml:space="preserve">**Alahel "oak" Qwellinir </t>
  </si>
  <si>
    <t>Tribal Linewoman</t>
  </si>
  <si>
    <t>Eagle Warrior Thrower</t>
  </si>
  <si>
    <t>Piranha Warrior Catcher</t>
  </si>
  <si>
    <t>Koka Kalim Blitzers</t>
  </si>
  <si>
    <t>Hobgoblin Runner</t>
  </si>
  <si>
    <t>Bull Centaur Blitzer</t>
  </si>
  <si>
    <t>Enslaved Minotaur</t>
  </si>
  <si>
    <t>Chaos Renegades</t>
  </si>
  <si>
    <t>Renegade Human Lineman</t>
  </si>
  <si>
    <t>Renegade Goblin</t>
  </si>
  <si>
    <t>Renegade Skaven Lineman</t>
  </si>
  <si>
    <t>Renegade Dark Elf  Lineman</t>
  </si>
  <si>
    <t>Troll°°</t>
  </si>
  <si>
    <t>Ogre°°</t>
  </si>
  <si>
    <t>Chaos Chosen</t>
  </si>
  <si>
    <t>Beastman Runner</t>
  </si>
  <si>
    <t>Chosen Blocker</t>
  </si>
  <si>
    <t>Bomma</t>
  </si>
  <si>
    <t>Halfling Hopeful</t>
  </si>
  <si>
    <t>Khemri Tomb Kings</t>
  </si>
  <si>
    <t>Skeleton Lineman</t>
  </si>
  <si>
    <t>Anointed Thrower</t>
  </si>
  <si>
    <t>Anointed Blitzer</t>
  </si>
  <si>
    <t>Skink Runner</t>
  </si>
  <si>
    <t>Saurus Blocker</t>
  </si>
  <si>
    <t>Norse Lineman</t>
  </si>
  <si>
    <t>Norse Thrower</t>
  </si>
  <si>
    <t>Norse Catcher</t>
  </si>
  <si>
    <t>Norse Berserker</t>
  </si>
  <si>
    <t>Ulfwerenar</t>
  </si>
  <si>
    <t>Necromantic Horror</t>
  </si>
  <si>
    <t>Shambling Undead</t>
  </si>
  <si>
    <t>Ghoul Runner</t>
  </si>
  <si>
    <t>Ghoul Runner°</t>
  </si>
  <si>
    <t>Wight Blitzer</t>
  </si>
  <si>
    <t>Runt</t>
  </si>
  <si>
    <t>Goblin°°</t>
  </si>
  <si>
    <t>Skaven Lineman°</t>
  </si>
  <si>
    <t>Skaven Thrower°</t>
  </si>
  <si>
    <t>Skaven Blitzer°</t>
  </si>
  <si>
    <t>Troll°°°</t>
  </si>
  <si>
    <t>Thrall Lineman</t>
  </si>
  <si>
    <t>Vampire Blitzer</t>
  </si>
  <si>
    <t>Dark Elf Lineman</t>
  </si>
  <si>
    <t>Dark Elf Runner</t>
  </si>
  <si>
    <t>Dark Elf Blitzer</t>
  </si>
  <si>
    <t>Dwarf Blitzer</t>
  </si>
  <si>
    <t>Dwarf Runner</t>
  </si>
  <si>
    <t>Dwarf Blocker</t>
  </si>
  <si>
    <t>Mighty Blow, Stand Firm, Strong Arm, Take Root, Thick Skull, Throw Team-Mate, Timmm-ber!</t>
  </si>
  <si>
    <t>Elven Union</t>
  </si>
  <si>
    <t>Elven Union Lineman</t>
  </si>
  <si>
    <t>Elven Union Thrower</t>
  </si>
  <si>
    <t>Elven Union Catcher</t>
  </si>
  <si>
    <t>Elven Union Blitzer</t>
  </si>
  <si>
    <t>Human Lineman</t>
  </si>
  <si>
    <t>Human Catcher</t>
  </si>
  <si>
    <t>Human Thrower</t>
  </si>
  <si>
    <t>Human Blitzer</t>
  </si>
  <si>
    <t>Rotspawn</t>
  </si>
  <si>
    <t>Bloater</t>
  </si>
  <si>
    <t>High Elf Lineman</t>
  </si>
  <si>
    <t>High Elf Blitzer</t>
  </si>
  <si>
    <t>High Elf Thrower</t>
  </si>
  <si>
    <t>High Elf Catcher</t>
  </si>
  <si>
    <t>Orc Lineman</t>
  </si>
  <si>
    <t>Orc Thrower</t>
  </si>
  <si>
    <t>Orc Blitzer</t>
  </si>
  <si>
    <t>Skaven Lineman</t>
  </si>
  <si>
    <t>Skaven Thrower</t>
  </si>
  <si>
    <t>Skaven Blitzer</t>
  </si>
  <si>
    <t>Dodge, Weeping Dagger</t>
  </si>
  <si>
    <t>Slann Lineman</t>
  </si>
  <si>
    <t>Slann Catcher</t>
  </si>
  <si>
    <t>Slann Blitzer</t>
  </si>
  <si>
    <t>Bretonnia Lineman</t>
  </si>
  <si>
    <t>Bretonnia Blitzer</t>
  </si>
  <si>
    <t>Wood Elf Lineman</t>
  </si>
  <si>
    <t>Wood Elf Catcher</t>
  </si>
  <si>
    <t>Wood Elf Thrower</t>
  </si>
  <si>
    <t>Shambling Undead, Necro, Vampire</t>
  </si>
  <si>
    <t>Human, Shambling Undead, Necro, Vampire, Khorne</t>
  </si>
  <si>
    <t>High Elf, Elven Union, Bretonnia</t>
  </si>
  <si>
    <t>Wood Elf, Elven Union</t>
  </si>
  <si>
    <t>Wood Elf, Elven Union, High Elf</t>
  </si>
  <si>
    <t>Vampire, Chaos Renegades</t>
  </si>
  <si>
    <t>Skaven, Chaos Renegades, Underworld</t>
  </si>
  <si>
    <t>Skaven, Chaos Renegades</t>
  </si>
  <si>
    <t>Dark Elf, Elven Union, Chaos Renegades</t>
  </si>
  <si>
    <t>Dark Elf, Khemri Tomb Kings</t>
  </si>
  <si>
    <t>Khemri Tomb Kings, Shambling Undead</t>
  </si>
  <si>
    <t>Khemri Tomb Kings, Dark Elf, Shambling Undead</t>
  </si>
  <si>
    <t>Necromantic Horror, Shambling Undead, Vampire</t>
  </si>
  <si>
    <t>Khemri Tomb Kings, Necromantic Horror, Shambling Undead</t>
  </si>
  <si>
    <t>Any team except: Khemri Tomb Kings, Necromantic Horror, Shambling Undead</t>
  </si>
  <si>
    <t>Necromantic Horror, Norse, Vampire</t>
  </si>
  <si>
    <t>Elven Union, High Elf, Wood Elf</t>
  </si>
  <si>
    <t>Dark Elf, Elven Union, High Elf, Wood Elf</t>
  </si>
  <si>
    <t>Chaos Chosen, Nurgle, Ogre **</t>
  </si>
  <si>
    <t>Chaos Chosen, Chaos Dwarf, Nurgle</t>
  </si>
  <si>
    <t>Chaos Chosen, Nurgle</t>
  </si>
  <si>
    <t>Chaos Dwarf, Chaos Chosen, Khemri Tomb Kings, Nurgle</t>
  </si>
  <si>
    <t>Chaos Chosen, Chaos Dwarf, Nurgle, Khorne</t>
  </si>
  <si>
    <t>Dark Elf, Elven Union</t>
  </si>
  <si>
    <t>Elven Union, Wood Elf</t>
  </si>
  <si>
    <t>Elven Union, High Elf</t>
  </si>
  <si>
    <t>**Manaccia</t>
  </si>
  <si>
    <t>Loner, Block, Dodge</t>
  </si>
  <si>
    <t>**Josh Winters</t>
  </si>
  <si>
    <t>Loner, Block, Dodge, Guard, Tuvbo Nevd</t>
  </si>
  <si>
    <t>Amazon Journeywoman</t>
  </si>
  <si>
    <t>Bretonnia Journeyman</t>
  </si>
  <si>
    <t>Renegade Human Journeyman</t>
  </si>
  <si>
    <t>Dark Elf Journeyman</t>
  </si>
  <si>
    <t>Elven Union Journeyman</t>
  </si>
  <si>
    <t>High Elf Journeyman</t>
  </si>
  <si>
    <t>Human Journeyman</t>
  </si>
  <si>
    <t>Norse Journeyman</t>
  </si>
  <si>
    <t>Orc Journeyman</t>
  </si>
  <si>
    <t>Skaven Journeyman</t>
  </si>
  <si>
    <t>Slann Journeyman</t>
  </si>
  <si>
    <t>Goblin Journeyman°</t>
  </si>
  <si>
    <t>Wood Elf Journeyman</t>
  </si>
  <si>
    <t>** Manaccia</t>
  </si>
  <si>
    <t>**Yoshimitsu</t>
  </si>
  <si>
    <t>**Gino Mattanza</t>
  </si>
  <si>
    <t>Loner, Foul Appearance, Monstrous Mouth, Nurgle's Rot</t>
  </si>
  <si>
    <t>Q.tà</t>
  </si>
  <si>
    <t>Skill D</t>
  </si>
  <si>
    <t>Skill N</t>
  </si>
  <si>
    <t>Skill</t>
  </si>
  <si>
    <t>Ruolo</t>
  </si>
  <si>
    <t>Razza</t>
  </si>
  <si>
    <t>Apo S/N</t>
  </si>
  <si>
    <t>Apo gp</t>
  </si>
  <si>
    <t>Loner, Dodge, Frenzy, Jump Up, Juggernaut, Leap</t>
  </si>
  <si>
    <t>*#Eldril Sidewinder</t>
  </si>
  <si>
    <t>*#Griff Oberwald</t>
  </si>
  <si>
    <t>*#Grim Ironjaw</t>
  </si>
  <si>
    <t>*#Guffle Pusmaw</t>
  </si>
  <si>
    <t>*#Hakflem Skuttlespike</t>
  </si>
  <si>
    <t>*#Jordell Freshbreeze</t>
  </si>
  <si>
    <t>*#Mighty Zug</t>
  </si>
  <si>
    <t>*#Morg ’n’ Thorg</t>
  </si>
  <si>
    <t>*#Prince Moranion</t>
  </si>
  <si>
    <t>*#Roxanna Darknail</t>
  </si>
  <si>
    <t>*#Varag Ghoul-Chewer</t>
  </si>
  <si>
    <t>any team</t>
  </si>
  <si>
    <t>55-56 || SI || -1 VA + M</t>
  </si>
  <si>
    <t>57 || SI || -1 AG + M</t>
  </si>
  <si>
    <t>58 || SI || -1 ST + M</t>
  </si>
  <si>
    <t>53-54 || SI || -1 MA + M</t>
  </si>
  <si>
    <t>51-52 || SI || Niggling + M</t>
  </si>
  <si>
    <t>Errori Costosi</t>
  </si>
  <si>
    <r>
      <rPr>
        <b/>
        <sz val="8"/>
        <rFont val="Arial"/>
        <family val="2"/>
      </rPr>
      <t>100-190</t>
    </r>
    <r>
      <rPr>
        <sz val="8"/>
        <rFont val="Arial"/>
        <family val="2"/>
      </rPr>
      <t>: 1-2 i&lt;</t>
    </r>
  </si>
  <si>
    <r>
      <t>-290</t>
    </r>
    <r>
      <rPr>
        <sz val="8"/>
        <rFont val="Arial"/>
        <family val="2"/>
      </rPr>
      <t>: 1 ig; 2-3 i&lt;</t>
    </r>
  </si>
  <si>
    <r>
      <t>-390</t>
    </r>
    <r>
      <rPr>
        <sz val="8"/>
        <rFont val="Arial"/>
        <family val="2"/>
      </rPr>
      <t>: 1 c; 2 ig; 3-4 i&lt;</t>
    </r>
  </si>
  <si>
    <r>
      <t>-490</t>
    </r>
    <r>
      <rPr>
        <sz val="8"/>
        <rFont val="Arial"/>
        <family val="2"/>
      </rPr>
      <t>: 1-2 c; 3 ig; 4-5 i&lt;</t>
    </r>
  </si>
  <si>
    <r>
      <rPr>
        <b/>
        <sz val="8"/>
        <rFont val="Arial"/>
        <family val="2"/>
      </rPr>
      <t>500+</t>
    </r>
    <r>
      <rPr>
        <sz val="8"/>
        <rFont val="Arial"/>
        <family val="2"/>
      </rPr>
      <t>: 1-3 c; 4 ig; 5-6 i&lt;</t>
    </r>
  </si>
  <si>
    <r>
      <rPr>
        <b/>
        <sz val="8"/>
        <rFont val="Arial"/>
        <family val="2"/>
      </rPr>
      <t>i&lt;</t>
    </r>
    <r>
      <rPr>
        <sz val="8"/>
        <rFont val="Arial"/>
        <family val="2"/>
      </rPr>
      <t xml:space="preserve">: -d3 gp; </t>
    </r>
    <r>
      <rPr>
        <b/>
        <sz val="8"/>
        <rFont val="Arial"/>
        <family val="2"/>
      </rPr>
      <t>ig</t>
    </r>
    <r>
      <rPr>
        <sz val="8"/>
        <rFont val="Arial"/>
        <family val="2"/>
      </rPr>
      <t>: -1/2 gp (e)</t>
    </r>
  </si>
  <si>
    <r>
      <rPr>
        <b/>
        <sz val="8"/>
        <rFont val="Arial"/>
        <family val="2"/>
      </rPr>
      <t>c</t>
    </r>
    <r>
      <rPr>
        <sz val="8"/>
        <rFont val="Arial"/>
        <family val="2"/>
      </rPr>
      <t>: salvati 2d6 gp</t>
    </r>
  </si>
  <si>
    <t>Ooligan</t>
  </si>
  <si>
    <t>Disturbing Presence, Dodge, Fan Favourite, Right Stuff, Stunty</t>
  </si>
  <si>
    <t>Doom Diver</t>
  </si>
  <si>
    <t>Right Stuff, Stunty, Swoop</t>
  </si>
  <si>
    <t>Renegade Orc Lineman</t>
  </si>
  <si>
    <t>Skill 1</t>
  </si>
  <si>
    <t>Skill 2</t>
  </si>
  <si>
    <t>Skill 3</t>
  </si>
  <si>
    <t>Skill 4</t>
  </si>
  <si>
    <t>Skill 5</t>
  </si>
  <si>
    <t>Skill 6</t>
  </si>
  <si>
    <t>MERCENARI</t>
  </si>
  <si>
    <t>ALTRI INDUCEMENTS</t>
  </si>
  <si>
    <t>BLOODWEISER BABES [0-2]</t>
  </si>
  <si>
    <t>BRIBES [0-3]</t>
  </si>
  <si>
    <t>EXTRA TEAM TRAINING [0-4]</t>
  </si>
  <si>
    <t>HALFLING MASTER CHEF [0-1]</t>
  </si>
  <si>
    <t>WIZARD [0-1]</t>
  </si>
  <si>
    <t>COSTI INDUCEMENTS</t>
  </si>
  <si>
    <t>--GENERAL--</t>
  </si>
  <si>
    <t>General</t>
  </si>
  <si>
    <t>Dauntless</t>
  </si>
  <si>
    <t>Dirty Player</t>
  </si>
  <si>
    <t>Kick</t>
  </si>
  <si>
    <t>Kick-Off Return</t>
  </si>
  <si>
    <t>Pass Block</t>
  </si>
  <si>
    <t>Pro</t>
  </si>
  <si>
    <t>Shadowing</t>
  </si>
  <si>
    <t>Strip Ball</t>
  </si>
  <si>
    <t>Sure Hands</t>
  </si>
  <si>
    <t>Tackle</t>
  </si>
  <si>
    <t>--AGILITY--</t>
  </si>
  <si>
    <t>Agility</t>
  </si>
  <si>
    <t>Diving Catch</t>
  </si>
  <si>
    <t>Diving Tackle</t>
  </si>
  <si>
    <t>Jump Up</t>
  </si>
  <si>
    <t>Leap</t>
  </si>
  <si>
    <t>Side Step</t>
  </si>
  <si>
    <t>Sneaky Git</t>
  </si>
  <si>
    <t>Sprint</t>
  </si>
  <si>
    <t>Sure Feet</t>
  </si>
  <si>
    <t>--PASSING--</t>
  </si>
  <si>
    <t>Accurate</t>
  </si>
  <si>
    <t>Passing</t>
  </si>
  <si>
    <t>Hail Mary Pass</t>
  </si>
  <si>
    <t>Leader</t>
  </si>
  <si>
    <t>Nerves of Steel</t>
  </si>
  <si>
    <t>Safe Throw</t>
  </si>
  <si>
    <t>--STRENGTH--</t>
  </si>
  <si>
    <t>Break Tackle</t>
  </si>
  <si>
    <t>Strength</t>
  </si>
  <si>
    <t>Grab</t>
  </si>
  <si>
    <t>Guard</t>
  </si>
  <si>
    <t>Juggernaut</t>
  </si>
  <si>
    <t>Mighty Blow</t>
  </si>
  <si>
    <t>Multiple Block</t>
  </si>
  <si>
    <t>Piling On</t>
  </si>
  <si>
    <t>Stand Firm</t>
  </si>
  <si>
    <t>Strong Arm</t>
  </si>
  <si>
    <t>Thick Skull</t>
  </si>
  <si>
    <t>--MUTATION--</t>
  </si>
  <si>
    <t>Big Hand</t>
  </si>
  <si>
    <t>Mutation</t>
  </si>
  <si>
    <t>Claws</t>
  </si>
  <si>
    <t>Disturbing Presence</t>
  </si>
  <si>
    <t>Extra Arms</t>
  </si>
  <si>
    <t>Foul Appearance</t>
  </si>
  <si>
    <t>Prehensile Tail</t>
  </si>
  <si>
    <t>Tentacles</t>
  </si>
  <si>
    <t>Two Heads</t>
  </si>
  <si>
    <t>Very Long Legs</t>
  </si>
  <si>
    <t>--INCREASE--</t>
  </si>
  <si>
    <t>+1 MA</t>
  </si>
  <si>
    <t>Increase30</t>
  </si>
  <si>
    <t>+1 VA</t>
  </si>
  <si>
    <t>+1 AG</t>
  </si>
  <si>
    <t>Increase40</t>
  </si>
  <si>
    <t>+1 ST</t>
  </si>
  <si>
    <t>Increase50</t>
  </si>
  <si>
    <t>Nota: quanti incrementi</t>
  </si>
  <si>
    <t>Nota: tabella numero skill</t>
  </si>
  <si>
    <t>Nota: tabella nomi abilità</t>
  </si>
  <si>
    <t>Nota: incrementi (1ma-2st-3ag-4va)</t>
  </si>
  <si>
    <t>Nota: tabella categorie abilità</t>
  </si>
  <si>
    <t>M poss.</t>
  </si>
  <si>
    <t>M data</t>
  </si>
  <si>
    <t>Nota: tabella tipologia skill</t>
  </si>
  <si>
    <t>Linewoman Amazon Mercenary</t>
  </si>
  <si>
    <t>Lineman Bretonnia Mercenary</t>
  </si>
  <si>
    <t>Beastman Mercenary</t>
  </si>
  <si>
    <t>Hobgoblin Mercenary</t>
  </si>
  <si>
    <t>Marauders Mercenary</t>
  </si>
  <si>
    <t>Lineman Dark Elf Mercenary</t>
  </si>
  <si>
    <t>Blocker Mercenary</t>
  </si>
  <si>
    <t>Lineman Elf Mercenary</t>
  </si>
  <si>
    <t>Goblin Mercenary</t>
  </si>
  <si>
    <t>Halfling Mercenary</t>
  </si>
  <si>
    <t>Lineman High Elf Mercenary</t>
  </si>
  <si>
    <t>Lineman Human Mercenary</t>
  </si>
  <si>
    <t>Skeleton° Mercenary</t>
  </si>
  <si>
    <t>Skink Mercenary</t>
  </si>
  <si>
    <t>Zombie° Mercenary</t>
  </si>
  <si>
    <t>Lineman Norse Mercenary</t>
  </si>
  <si>
    <t>Rotter Mercenary</t>
  </si>
  <si>
    <t>Snotling Mercenary</t>
  </si>
  <si>
    <t>Lineman Orc Mercenary</t>
  </si>
  <si>
    <t>Lineman Skaven Mercenary</t>
  </si>
  <si>
    <t>Lineman Slann Mercenary</t>
  </si>
  <si>
    <t>Skeleton Mercenary</t>
  </si>
  <si>
    <t>Underworld Goblin Mercenary</t>
  </si>
  <si>
    <t>Thrall Mercenary</t>
  </si>
  <si>
    <t>Lineman Wood Elf Mercenary</t>
  </si>
  <si>
    <t>Thrower Amazon Mercenary</t>
  </si>
  <si>
    <t>Blitzer Bretonnia Mercenary</t>
  </si>
  <si>
    <t>Chaos Warrior Mercenary</t>
  </si>
  <si>
    <t>Chaos Dwarf Blocker Mercenary</t>
  </si>
  <si>
    <t>Goblin Renegade Mercenary</t>
  </si>
  <si>
    <t>Runner Dark Elf Mercenary</t>
  </si>
  <si>
    <t>Runner Dwarf Mercenary</t>
  </si>
  <si>
    <t>Thrower Elf Mercenary</t>
  </si>
  <si>
    <t>Bombardier Mercenary</t>
  </si>
  <si>
    <t>Treeman Mercenary</t>
  </si>
  <si>
    <t>Thrower High Elf Mercenary</t>
  </si>
  <si>
    <t>Catcher Human Mercenary</t>
  </si>
  <si>
    <t>Thro-Ra Mercenary</t>
  </si>
  <si>
    <t>Saurus Mercenary</t>
  </si>
  <si>
    <t>Ghoul° Mercenary</t>
  </si>
  <si>
    <t>Thrower Norse Mercenary</t>
  </si>
  <si>
    <t>Pestigor Mercenary</t>
  </si>
  <si>
    <t>Ogre° Mercenary</t>
  </si>
  <si>
    <t>Goblin° Mercenary</t>
  </si>
  <si>
    <t>Thrower Skaven Mercenary</t>
  </si>
  <si>
    <t>Catcher Slann Mercenary</t>
  </si>
  <si>
    <t>Zombie Mercenary</t>
  </si>
  <si>
    <t>Underworld Skaven Lineman Mercenary</t>
  </si>
  <si>
    <t>Vampire Mercenary</t>
  </si>
  <si>
    <t>Catcher Wood Elf Mercenary</t>
  </si>
  <si>
    <t>Catcher Amazon Mercenary</t>
  </si>
  <si>
    <t>Yeoman Mercenary</t>
  </si>
  <si>
    <t>Minotaur Mercenary</t>
  </si>
  <si>
    <t>Bull Centaur Mercenary</t>
  </si>
  <si>
    <t>Skaven Renegade Mercenary</t>
  </si>
  <si>
    <t>Assassin Mercenary</t>
  </si>
  <si>
    <t>Blitzer Dwarf Mercenary</t>
  </si>
  <si>
    <t>Catcher Elf Mercenary</t>
  </si>
  <si>
    <t>Looney Mercenary</t>
  </si>
  <si>
    <t>Catcher High Elf Mercenary</t>
  </si>
  <si>
    <t>Thrower Human Mercenary</t>
  </si>
  <si>
    <t>Blitz-Ra Mercenary</t>
  </si>
  <si>
    <t>Kroxigor Mercenary</t>
  </si>
  <si>
    <t>Wight° Mercenary</t>
  </si>
  <si>
    <t>Catcher Norse Mercenary</t>
  </si>
  <si>
    <t>Nurgle Warrior Mercenary</t>
  </si>
  <si>
    <t>Thrower Orc Mercenary</t>
  </si>
  <si>
    <t>Gutter Runner Mercenary</t>
  </si>
  <si>
    <t>Blitzer Slann Mercenary</t>
  </si>
  <si>
    <t>Ghoul Mercenary</t>
  </si>
  <si>
    <t>Underworld Skaven Thrower Mercenary</t>
  </si>
  <si>
    <t>Thrower Wood Elf Mercenary</t>
  </si>
  <si>
    <t>Blitzer Amazon Mercenary</t>
  </si>
  <si>
    <t>Minotaur° Mercenary</t>
  </si>
  <si>
    <t>Dark Elf Renegade Mercenary</t>
  </si>
  <si>
    <t>Blitzer Dark Elf Mercenary</t>
  </si>
  <si>
    <t>Troll Slayer Mercenary</t>
  </si>
  <si>
    <t>Blitzer Elf Mercenary</t>
  </si>
  <si>
    <t>Fanatic Mercenary</t>
  </si>
  <si>
    <t>Blitzer High Elf Mercenary</t>
  </si>
  <si>
    <t>Blitzer Human Mercenary</t>
  </si>
  <si>
    <t>Tomb Guardian Mercenary</t>
  </si>
  <si>
    <t>Flesh Golem Mercenary</t>
  </si>
  <si>
    <t>Blitzer Norse Mercenary</t>
  </si>
  <si>
    <t>Beast of Nurgle Mercenary</t>
  </si>
  <si>
    <t>Black Orc Blocker Mercenary</t>
  </si>
  <si>
    <t>Blitzer Skaven Mercenary</t>
  </si>
  <si>
    <t>Kroxigor° Mercenary</t>
  </si>
  <si>
    <t>Wight Mercenary</t>
  </si>
  <si>
    <t>Underworld Skaven Blitzer Mercenary</t>
  </si>
  <si>
    <t>Wardancer Mercenary</t>
  </si>
  <si>
    <t>Chaos Troll Mercenary</t>
  </si>
  <si>
    <t>Witch Elf Mercenary</t>
  </si>
  <si>
    <t>Deathroller Mercenary</t>
  </si>
  <si>
    <t>Pogoer Mercenary</t>
  </si>
  <si>
    <t>Ogre Mercenary</t>
  </si>
  <si>
    <t>Werewolf Mercenary</t>
  </si>
  <si>
    <t>Werewolf Norse Mercenary</t>
  </si>
  <si>
    <t>Blitzer Orc Mercenary</t>
  </si>
  <si>
    <t>Rat Ogre Mercenary</t>
  </si>
  <si>
    <t>Mummy Mercenary</t>
  </si>
  <si>
    <t>Warpstone Troll Mercenary</t>
  </si>
  <si>
    <t>Treeman° Mercenary</t>
  </si>
  <si>
    <t>Chaos Ogre Mercenary</t>
  </si>
  <si>
    <t>Troll Mercenary</t>
  </si>
  <si>
    <t>Yhetee Mercenary</t>
  </si>
  <si>
    <t>Troll° Mercenary</t>
  </si>
  <si>
    <t>Minotaur°° Mercenary</t>
  </si>
  <si>
    <t>Pit Fighter Mercenary</t>
  </si>
  <si>
    <t>Bloodletter Daemon Mercenary</t>
  </si>
  <si>
    <t>Khorne Herald Mercenary</t>
  </si>
  <si>
    <t>Bloodthirster Mercenary</t>
  </si>
  <si>
    <t>Loner, Dodge, Pass</t>
  </si>
  <si>
    <t>Loner, Dodge, Catch</t>
  </si>
  <si>
    <t>Loner, Dodge, Block</t>
  </si>
  <si>
    <t>Loner, Sprint, Sure Feet, Thick Skull</t>
  </si>
  <si>
    <t>Loner, Animosity, Dodge, Right Stuff, Stunty</t>
  </si>
  <si>
    <t>Loner, Animosity</t>
  </si>
  <si>
    <t>Loner, Dump-Off</t>
  </si>
  <si>
    <t>Loner, Shadowing, Stab</t>
  </si>
  <si>
    <t>Loner, Sure Hands, Thick Skull</t>
  </si>
  <si>
    <t>Loner, Block, Thick Skull</t>
  </si>
  <si>
    <t>Loner, Block, Dauntless, Frenzy, Thick Skull</t>
  </si>
  <si>
    <t>Loner, Pass</t>
  </si>
  <si>
    <t>Loner, Catch, Nerves of Steel</t>
  </si>
  <si>
    <t>Loner, Block, Side Step</t>
  </si>
  <si>
    <t>Loner, Bombardier, Dodge, Secret Weapon, Stunty</t>
  </si>
  <si>
    <t>Loner, Chainsaw, Secret Weapon, Stunty</t>
  </si>
  <si>
    <t>Loner, Ball &amp; Chain, No Hands, Secret Weapon, Stunty</t>
  </si>
  <si>
    <t>Loner, Dodge, Leap, Stunty, Very Long Legs</t>
  </si>
  <si>
    <t>Loner, Mighty Blow, Stand Firm, Strong Arm, Take Root, Thick Skull, Throw Team-Mate</t>
  </si>
  <si>
    <t>Loner, Pass, Safe Throw</t>
  </si>
  <si>
    <t>Loner, Catch</t>
  </si>
  <si>
    <t>Loner, Catch, Dodge</t>
  </si>
  <si>
    <t>Loner, Sure Hands, Pass</t>
  </si>
  <si>
    <t>Loner, Pass, Regeneration, Sure Hands</t>
  </si>
  <si>
    <t>Loner, Block, Regeneration</t>
  </si>
  <si>
    <t>Loner, Decay, Regeneration</t>
  </si>
  <si>
    <t>Loner, Regeneration, Stand Firm, Thick Skull</t>
  </si>
  <si>
    <t>Loner, Claws, Frenzy, Regeneration</t>
  </si>
  <si>
    <t>Loner, Block, Pass</t>
  </si>
  <si>
    <t>Loner, Block, Dauntless</t>
  </si>
  <si>
    <t>Loner, Block, Frenzy, Jump Up</t>
  </si>
  <si>
    <t>Loner, Frenzy</t>
  </si>
  <si>
    <t>Loner, Horns, Nurgle's Rot, Regeneration</t>
  </si>
  <si>
    <t>Loner, Disturbing Presence, Foul Appearance, Nurgle's Rot, Regeneration</t>
  </si>
  <si>
    <t>Loner, Pass, Sure Hands</t>
  </si>
  <si>
    <t>Loner, Diving Catch, Leap, Very Long Legs</t>
  </si>
  <si>
    <t>Loner, Diving Tackle, Jump Up, Leap, Very Long Legs</t>
  </si>
  <si>
    <t>Loner, Mighty Blow, Regeneration</t>
  </si>
  <si>
    <t>Loner, Animosity, Pass, Sure Hands</t>
  </si>
  <si>
    <t>Loner, Animosity, Block</t>
  </si>
  <si>
    <t>Loner, Blood Lust, Hypnotic Gaze, Regeneration</t>
  </si>
  <si>
    <t>Loner, Catch, Dodge, Sprint</t>
  </si>
  <si>
    <t>Loner, Block, Dodge, Leap</t>
  </si>
  <si>
    <t>Chaos Renegade</t>
  </si>
  <si>
    <t>Loner, Frenzy, Dodge, Jump Up</t>
  </si>
  <si>
    <t>Loner, Horns, Juggernaut, Regeneration</t>
  </si>
  <si>
    <t>Loner, Frenzy, Horns, Juggernaut</t>
  </si>
  <si>
    <t>Ooligan Mercenary</t>
  </si>
  <si>
    <t>Doom Diver Mercenary</t>
  </si>
  <si>
    <t>Orc Renegade Lineman</t>
  </si>
  <si>
    <t>Loner, Disturbing Presence, Dodge, Fan Favourite, Right Stuff, Stunty</t>
  </si>
  <si>
    <t>Loner, Right Stuff, Stunty, Swoop</t>
  </si>
  <si>
    <t>*#Bo Gallanté</t>
  </si>
  <si>
    <t>Loner, Dodge, Side Step, Sprint, Sure Feet</t>
  </si>
  <si>
    <t>*#Glart Smashrip</t>
  </si>
  <si>
    <t>Loner, Block, Claws, Juggernaut, Grab, Stand Firm</t>
  </si>
  <si>
    <t>Amazon, Halfling, Human, Norse</t>
  </si>
  <si>
    <t>*#Karla von Kill</t>
  </si>
  <si>
    <t>*#Kreek Rustgouger</t>
  </si>
  <si>
    <t>Loner, Block, Dauntless, Dodge, Jump Up</t>
  </si>
  <si>
    <t>Loner, Ball&amp;Chain, Mighty Blow, No Hands, Prehensile Tail, Secret Weapon</t>
  </si>
  <si>
    <t>*#Madcap Miggz</t>
  </si>
  <si>
    <t>Loner, Break Tackle, Claws, Leap, No Hands, Very Long Legs, Wild Animal</t>
  </si>
  <si>
    <t>Goblin, Underworld</t>
  </si>
  <si>
    <t>*#The Swift Twin Lucien</t>
  </si>
  <si>
    <t>*#The Swift Twin Valen</t>
  </si>
  <si>
    <t>Loner, Block, Mighty Blow, Tackle</t>
  </si>
  <si>
    <t>High Elf, Elven Union, Wood Elf</t>
  </si>
  <si>
    <t>*Ripper Bolgrot</t>
  </si>
  <si>
    <t>Loner, Accurate, Nerves of Steel, Pass, Safe Throw, Sure Hands</t>
  </si>
  <si>
    <t>LBBL - 2019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</si>
</sst>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k&quot;"/>
    <numFmt numFmtId="165" formatCode="#,##0&quot;.000 gp&quot;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color indexed="23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7"/>
      <color indexed="16"/>
      <name val="Arial"/>
      <family val="2"/>
    </font>
    <font>
      <sz val="11"/>
      <name val="Arial"/>
      <family val="2"/>
    </font>
    <font>
      <b/>
      <sz val="8"/>
      <color indexed="63"/>
      <name val="Arial"/>
      <family val="2"/>
    </font>
    <font>
      <b/>
      <sz val="8"/>
      <name val="Tahoma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CC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NumberForma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0" fontId="2" fillId="33" borderId="11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Fill="1" applyBorder="1" applyAlignment="1" applyProtection="1">
      <alignment horizontal="center" vertical="center" wrapText="1" shrinkToFit="1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shrinkToFi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 shrinkToFit="1"/>
      <protection hidden="1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7" fillId="34" borderId="12" xfId="0" applyFont="1" applyFill="1" applyBorder="1" applyAlignment="1" applyProtection="1">
      <alignment horizontal="center" vertical="center"/>
      <protection hidden="1"/>
    </xf>
    <xf numFmtId="0" fontId="2" fillId="33" borderId="12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hidden="1"/>
    </xf>
    <xf numFmtId="0" fontId="2" fillId="35" borderId="13" xfId="0" applyFont="1" applyFill="1" applyBorder="1" applyAlignment="1" applyProtection="1">
      <alignment/>
      <protection hidden="1"/>
    </xf>
    <xf numFmtId="0" fontId="2" fillId="35" borderId="14" xfId="0" applyFont="1" applyFill="1" applyBorder="1" applyAlignment="1" applyProtection="1">
      <alignment/>
      <protection hidden="1"/>
    </xf>
    <xf numFmtId="0" fontId="2" fillId="35" borderId="15" xfId="0" applyFont="1" applyFill="1" applyBorder="1" applyAlignment="1" applyProtection="1">
      <alignment/>
      <protection hidden="1"/>
    </xf>
    <xf numFmtId="0" fontId="0" fillId="35" borderId="16" xfId="0" applyFill="1" applyBorder="1" applyAlignment="1" applyProtection="1">
      <alignment/>
      <protection/>
    </xf>
    <xf numFmtId="0" fontId="0" fillId="35" borderId="16" xfId="0" applyFont="1" applyFill="1" applyBorder="1" applyAlignment="1" applyProtection="1">
      <alignment horizontal="center" shrinkToFit="1"/>
      <protection/>
    </xf>
    <xf numFmtId="0" fontId="0" fillId="35" borderId="16" xfId="0" applyNumberFormat="1" applyFill="1" applyBorder="1" applyAlignment="1" applyProtection="1">
      <alignment/>
      <protection/>
    </xf>
    <xf numFmtId="0" fontId="2" fillId="35" borderId="17" xfId="0" applyNumberFormat="1" applyFont="1" applyFill="1" applyBorder="1" applyAlignment="1" applyProtection="1">
      <alignment vertical="center"/>
      <protection/>
    </xf>
    <xf numFmtId="0" fontId="2" fillId="35" borderId="18" xfId="0" applyFont="1" applyFill="1" applyBorder="1" applyAlignment="1" applyProtection="1">
      <alignment vertical="center"/>
      <protection/>
    </xf>
    <xf numFmtId="0" fontId="2" fillId="35" borderId="19" xfId="0" applyFont="1" applyFill="1" applyBorder="1" applyAlignment="1" applyProtection="1">
      <alignment vertical="center"/>
      <protection/>
    </xf>
    <xf numFmtId="0" fontId="2" fillId="35" borderId="19" xfId="0" applyNumberFormat="1" applyFont="1" applyFill="1" applyBorder="1" applyAlignment="1" applyProtection="1">
      <alignment vertical="center"/>
      <protection/>
    </xf>
    <xf numFmtId="0" fontId="2" fillId="35" borderId="20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horizontal="center" vertical="center" shrinkToFit="1"/>
      <protection hidden="1"/>
    </xf>
    <xf numFmtId="0" fontId="2" fillId="35" borderId="20" xfId="0" applyNumberFormat="1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/>
    </xf>
    <xf numFmtId="0" fontId="9" fillId="35" borderId="21" xfId="0" applyFont="1" applyFill="1" applyBorder="1" applyAlignment="1" applyProtection="1">
      <alignment horizontal="center" vertical="center"/>
      <protection hidden="1"/>
    </xf>
    <xf numFmtId="0" fontId="9" fillId="35" borderId="21" xfId="0" applyFont="1" applyFill="1" applyBorder="1" applyAlignment="1" applyProtection="1">
      <alignment horizontal="center" vertical="center" shrinkToFit="1"/>
      <protection hidden="1"/>
    </xf>
    <xf numFmtId="0" fontId="10" fillId="35" borderId="21" xfId="0" applyNumberFormat="1" applyFont="1" applyFill="1" applyBorder="1" applyAlignment="1" applyProtection="1">
      <alignment horizontal="center" vertical="center" shrinkToFit="1"/>
      <protection hidden="1"/>
    </xf>
    <xf numFmtId="0" fontId="11" fillId="35" borderId="21" xfId="0" applyFont="1" applyFill="1" applyBorder="1" applyAlignment="1" applyProtection="1">
      <alignment horizontal="center" vertical="center" shrinkToFit="1"/>
      <protection hidden="1"/>
    </xf>
    <xf numFmtId="0" fontId="9" fillId="35" borderId="22" xfId="0" applyFont="1" applyFill="1" applyBorder="1" applyAlignment="1" applyProtection="1">
      <alignment horizontal="center" vertical="center" shrinkToFit="1"/>
      <protection/>
    </xf>
    <xf numFmtId="0" fontId="9" fillId="35" borderId="23" xfId="0" applyFont="1" applyFill="1" applyBorder="1" applyAlignment="1" applyProtection="1">
      <alignment horizontal="center" vertical="center"/>
      <protection hidden="1"/>
    </xf>
    <xf numFmtId="0" fontId="9" fillId="35" borderId="24" xfId="0" applyFont="1" applyFill="1" applyBorder="1" applyAlignment="1" applyProtection="1">
      <alignment horizontal="center" vertical="center" shrinkToFit="1"/>
      <protection hidden="1"/>
    </xf>
    <xf numFmtId="0" fontId="9" fillId="35" borderId="23" xfId="0" applyFont="1" applyFill="1" applyBorder="1" applyAlignment="1" applyProtection="1">
      <alignment horizontal="center" vertical="center" shrinkToFit="1"/>
      <protection hidden="1"/>
    </xf>
    <xf numFmtId="0" fontId="9" fillId="35" borderId="25" xfId="0" applyFont="1" applyFill="1" applyBorder="1" applyAlignment="1" applyProtection="1">
      <alignment horizontal="right" vertical="center"/>
      <protection hidden="1"/>
    </xf>
    <xf numFmtId="0" fontId="2" fillId="34" borderId="26" xfId="0" applyFont="1" applyFill="1" applyBorder="1" applyAlignment="1" applyProtection="1">
      <alignment horizontal="right" vertical="center"/>
      <protection hidden="1"/>
    </xf>
    <xf numFmtId="0" fontId="2" fillId="34" borderId="27" xfId="0" applyFont="1" applyFill="1" applyBorder="1" applyAlignment="1" applyProtection="1">
      <alignment horizontal="right" vertical="center"/>
      <protection hidden="1"/>
    </xf>
    <xf numFmtId="0" fontId="4" fillId="0" borderId="11" xfId="0" applyFont="1" applyFill="1" applyBorder="1" applyAlignment="1" applyProtection="1">
      <alignment horizontal="center" vertical="center" wrapText="1" shrinkToFit="1"/>
      <protection hidden="1"/>
    </xf>
    <xf numFmtId="0" fontId="7" fillId="34" borderId="11" xfId="0" applyFont="1" applyFill="1" applyBorder="1" applyAlignment="1" applyProtection="1">
      <alignment horizontal="center" vertical="center"/>
      <protection hidden="1"/>
    </xf>
    <xf numFmtId="0" fontId="2" fillId="36" borderId="28" xfId="0" applyNumberFormat="1" applyFont="1" applyFill="1" applyBorder="1" applyAlignment="1" applyProtection="1">
      <alignment horizontal="center" vertical="center" shrinkToFit="1"/>
      <protection hidden="1"/>
    </xf>
    <xf numFmtId="0" fontId="2" fillId="34" borderId="29" xfId="0" applyFont="1" applyFill="1" applyBorder="1" applyAlignment="1" applyProtection="1">
      <alignment horizontal="right" vertical="center"/>
      <protection hidden="1"/>
    </xf>
    <xf numFmtId="0" fontId="5" fillId="37" borderId="30" xfId="0" applyFont="1" applyFill="1" applyBorder="1" applyAlignment="1" applyProtection="1">
      <alignment horizontal="right" vertical="center"/>
      <protection hidden="1"/>
    </xf>
    <xf numFmtId="0" fontId="9" fillId="35" borderId="0" xfId="0" applyFont="1" applyFill="1" applyBorder="1" applyAlignment="1" applyProtection="1">
      <alignment horizontal="center" vertical="center"/>
      <protection hidden="1"/>
    </xf>
    <xf numFmtId="0" fontId="9" fillId="35" borderId="31" xfId="0" applyFont="1" applyFill="1" applyBorder="1" applyAlignment="1" applyProtection="1">
      <alignment horizontal="center" vertical="center"/>
      <protection hidden="1"/>
    </xf>
    <xf numFmtId="3" fontId="8" fillId="35" borderId="32" xfId="0" applyNumberFormat="1" applyFont="1" applyFill="1" applyBorder="1" applyAlignment="1" applyProtection="1">
      <alignment horizontal="center" vertical="center"/>
      <protection hidden="1"/>
    </xf>
    <xf numFmtId="0" fontId="8" fillId="35" borderId="3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2" fillId="35" borderId="20" xfId="0" applyFont="1" applyFill="1" applyBorder="1" applyAlignment="1" applyProtection="1">
      <alignment horizontal="center" vertical="center"/>
      <protection hidden="1"/>
    </xf>
    <xf numFmtId="0" fontId="0" fillId="35" borderId="16" xfId="0" applyFill="1" applyBorder="1" applyAlignment="1" applyProtection="1">
      <alignment horizontal="center"/>
      <protection/>
    </xf>
    <xf numFmtId="0" fontId="9" fillId="35" borderId="31" xfId="0" applyFont="1" applyFill="1" applyBorder="1" applyAlignment="1" applyProtection="1">
      <alignment horizontal="right" vertical="center"/>
      <protection hidden="1"/>
    </xf>
    <xf numFmtId="0" fontId="9" fillId="35" borderId="34" xfId="0" applyFont="1" applyFill="1" applyBorder="1" applyAlignment="1" applyProtection="1">
      <alignment horizontal="right" vertical="center"/>
      <protection hidden="1"/>
    </xf>
    <xf numFmtId="0" fontId="9" fillId="35" borderId="35" xfId="0" applyFont="1" applyFill="1" applyBorder="1" applyAlignment="1" applyProtection="1">
      <alignment horizontal="right" vertical="center"/>
      <protection hidden="1"/>
    </xf>
    <xf numFmtId="0" fontId="9" fillId="35" borderId="30" xfId="0" applyFont="1" applyFill="1" applyBorder="1" applyAlignment="1" applyProtection="1">
      <alignment vertical="center"/>
      <protection hidden="1"/>
    </xf>
    <xf numFmtId="0" fontId="9" fillId="35" borderId="36" xfId="0" applyFont="1" applyFill="1" applyBorder="1" applyAlignment="1" applyProtection="1">
      <alignment vertical="center"/>
      <protection hidden="1"/>
    </xf>
    <xf numFmtId="0" fontId="9" fillId="35" borderId="25" xfId="0" applyFont="1" applyFill="1" applyBorder="1" applyAlignment="1" applyProtection="1">
      <alignment vertical="center"/>
      <protection hidden="1"/>
    </xf>
    <xf numFmtId="0" fontId="9" fillId="35" borderId="34" xfId="0" applyFont="1" applyFill="1" applyBorder="1" applyAlignment="1" applyProtection="1">
      <alignment vertical="center"/>
      <protection hidden="1"/>
    </xf>
    <xf numFmtId="0" fontId="9" fillId="35" borderId="37" xfId="0" applyFont="1" applyFill="1" applyBorder="1" applyAlignment="1" applyProtection="1">
      <alignment vertical="center"/>
      <protection hidden="1"/>
    </xf>
    <xf numFmtId="0" fontId="9" fillId="35" borderId="31" xfId="0" applyFont="1" applyFill="1" applyBorder="1" applyAlignment="1" applyProtection="1">
      <alignment vertical="center"/>
      <protection hidden="1"/>
    </xf>
    <xf numFmtId="0" fontId="9" fillId="35" borderId="38" xfId="0" applyFont="1" applyFill="1" applyBorder="1" applyAlignment="1" applyProtection="1">
      <alignment vertical="center"/>
      <protection hidden="1"/>
    </xf>
    <xf numFmtId="0" fontId="9" fillId="35" borderId="21" xfId="0" applyFont="1" applyFill="1" applyBorder="1" applyAlignment="1" applyProtection="1">
      <alignment horizontal="center" vertical="center" shrinkToFit="1"/>
      <protection hidden="1"/>
    </xf>
    <xf numFmtId="0" fontId="2" fillId="38" borderId="12" xfId="0" applyFont="1" applyFill="1" applyBorder="1" applyAlignment="1" applyProtection="1">
      <alignment horizontal="center" vertical="center" shrinkToFit="1"/>
      <protection locked="0"/>
    </xf>
    <xf numFmtId="0" fontId="2" fillId="38" borderId="10" xfId="0" applyFont="1" applyFill="1" applyBorder="1" applyAlignment="1" applyProtection="1">
      <alignment horizontal="center" vertical="center" shrinkToFit="1"/>
      <protection locked="0"/>
    </xf>
    <xf numFmtId="0" fontId="2" fillId="38" borderId="11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vertical="center" shrinkToFit="1"/>
      <protection locked="0"/>
    </xf>
    <xf numFmtId="0" fontId="5" fillId="0" borderId="10" xfId="0" applyFont="1" applyFill="1" applyBorder="1" applyAlignment="1" applyProtection="1">
      <alignment vertical="center" shrinkToFit="1"/>
      <protection locked="0"/>
    </xf>
    <xf numFmtId="0" fontId="5" fillId="0" borderId="11" xfId="0" applyFont="1" applyFill="1" applyBorder="1" applyAlignment="1" applyProtection="1">
      <alignment vertical="center" shrinkToFit="1"/>
      <protection locked="0"/>
    </xf>
    <xf numFmtId="0" fontId="2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39" xfId="0" applyNumberFormat="1" applyFont="1" applyFill="1" applyBorder="1" applyAlignment="1" applyProtection="1">
      <alignment horizontal="right" vertical="center" shrinkToFit="1"/>
      <protection hidden="1"/>
    </xf>
    <xf numFmtId="3" fontId="9" fillId="35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hidden="1"/>
    </xf>
    <xf numFmtId="3" fontId="2" fillId="0" borderId="40" xfId="0" applyNumberFormat="1" applyFont="1" applyFill="1" applyBorder="1" applyAlignment="1" applyProtection="1">
      <alignment horizontal="center" vertical="center"/>
      <protection locked="0"/>
    </xf>
    <xf numFmtId="3" fontId="2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9" fillId="35" borderId="43" xfId="0" applyFont="1" applyFill="1" applyBorder="1" applyAlignment="1" applyProtection="1">
      <alignment horizontal="right" vertic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/>
      <protection locked="0"/>
    </xf>
    <xf numFmtId="165" fontId="5" fillId="37" borderId="42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 shrinkToFi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3" fontId="0" fillId="0" borderId="0" xfId="0" applyNumberFormat="1" applyFont="1" applyAlignment="1" applyProtection="1">
      <alignment horizontal="center" vertical="center"/>
      <protection hidden="1"/>
    </xf>
    <xf numFmtId="3" fontId="0" fillId="0" borderId="0" xfId="0" applyNumberFormat="1" applyAlignment="1" applyProtection="1">
      <alignment horizontal="center" vertical="center"/>
      <protection hidden="1"/>
    </xf>
    <xf numFmtId="3" fontId="2" fillId="0" borderId="0" xfId="0" applyNumberFormat="1" applyFont="1" applyFill="1" applyBorder="1" applyAlignment="1" applyProtection="1">
      <alignment horizontal="right" vertical="center"/>
      <protection hidden="1"/>
    </xf>
    <xf numFmtId="3" fontId="17" fillId="0" borderId="0" xfId="0" applyNumberFormat="1" applyFont="1" applyFill="1" applyBorder="1" applyAlignment="1" applyProtection="1">
      <alignment horizontal="center" vertical="center"/>
      <protection hidden="1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39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 shrinkToFit="1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3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47" xfId="0" applyFont="1" applyFill="1" applyBorder="1" applyAlignment="1" applyProtection="1">
      <alignment vertical="center" shrinkToFit="1"/>
      <protection hidden="1"/>
    </xf>
    <xf numFmtId="0" fontId="0" fillId="0" borderId="47" xfId="0" applyFont="1" applyFill="1" applyBorder="1" applyAlignment="1" applyProtection="1">
      <alignment horizontal="center" vertical="center"/>
      <protection hidden="1"/>
    </xf>
    <xf numFmtId="0" fontId="2" fillId="0" borderId="47" xfId="0" applyFont="1" applyFill="1" applyBorder="1" applyAlignment="1" applyProtection="1">
      <alignment vertical="center" wrapText="1"/>
      <protection hidden="1"/>
    </xf>
    <xf numFmtId="3" fontId="0" fillId="0" borderId="4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0" fillId="0" borderId="48" xfId="0" applyFont="1" applyFill="1" applyBorder="1" applyAlignment="1" applyProtection="1">
      <alignment vertical="center" shrinkToFit="1"/>
      <protection hidden="1"/>
    </xf>
    <xf numFmtId="0" fontId="0" fillId="0" borderId="48" xfId="0" applyFont="1" applyFill="1" applyBorder="1" applyAlignment="1" applyProtection="1">
      <alignment horizontal="center" vertical="center"/>
      <protection hidden="1"/>
    </xf>
    <xf numFmtId="0" fontId="2" fillId="0" borderId="48" xfId="0" applyFont="1" applyFill="1" applyBorder="1" applyAlignment="1" applyProtection="1">
      <alignment vertical="center" wrapText="1"/>
      <protection hidden="1"/>
    </xf>
    <xf numFmtId="3" fontId="0" fillId="0" borderId="4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 shrinkToFit="1"/>
      <protection hidden="1"/>
    </xf>
    <xf numFmtId="0" fontId="0" fillId="0" borderId="0" xfId="0" applyFont="1" applyFill="1" applyBorder="1" applyAlignment="1" applyProtection="1">
      <alignment vertical="center" wrapText="1" shrinkToFit="1"/>
      <protection hidden="1"/>
    </xf>
    <xf numFmtId="0" fontId="0" fillId="0" borderId="47" xfId="0" applyFont="1" applyBorder="1" applyAlignment="1" applyProtection="1">
      <alignment vertical="center" shrinkToFit="1"/>
      <protection hidden="1"/>
    </xf>
    <xf numFmtId="0" fontId="0" fillId="0" borderId="0" xfId="0" applyFont="1" applyBorder="1" applyAlignment="1" applyProtection="1">
      <alignment vertical="center" shrinkToFit="1"/>
      <protection hidden="1"/>
    </xf>
    <xf numFmtId="0" fontId="0" fillId="0" borderId="47" xfId="0" applyFont="1" applyBorder="1" applyAlignment="1" applyProtection="1">
      <alignment horizontal="center" vertical="center"/>
      <protection hidden="1"/>
    </xf>
    <xf numFmtId="3" fontId="0" fillId="0" borderId="47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3" fontId="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16" fillId="0" borderId="0" xfId="0" applyNumberFormat="1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Alignment="1" applyProtection="1">
      <alignment horizontal="right" vertical="center"/>
      <protection hidden="1"/>
    </xf>
    <xf numFmtId="3" fontId="0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0" fillId="0" borderId="48" xfId="0" applyFont="1" applyBorder="1" applyAlignment="1" applyProtection="1">
      <alignment vertical="center" shrinkToFit="1"/>
      <protection hidden="1"/>
    </xf>
    <xf numFmtId="0" fontId="0" fillId="0" borderId="48" xfId="0" applyFont="1" applyBorder="1" applyAlignment="1" applyProtection="1">
      <alignment horizontal="center" vertical="center"/>
      <protection hidden="1"/>
    </xf>
    <xf numFmtId="3" fontId="0" fillId="0" borderId="48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3" fontId="3" fillId="0" borderId="0" xfId="0" applyNumberFormat="1" applyFont="1" applyAlignment="1" applyProtection="1">
      <alignment horizontal="center" vertical="center"/>
      <protection hidden="1"/>
    </xf>
    <xf numFmtId="3" fontId="2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49" xfId="0" applyFont="1" applyFill="1" applyBorder="1" applyAlignment="1" applyProtection="1">
      <alignment vertical="center" shrinkToFit="1"/>
      <protection hidden="1"/>
    </xf>
    <xf numFmtId="0" fontId="0" fillId="0" borderId="50" xfId="0" applyFont="1" applyFill="1" applyBorder="1" applyAlignment="1" applyProtection="1">
      <alignment vertical="center" shrinkToFit="1"/>
      <protection hidden="1"/>
    </xf>
    <xf numFmtId="0" fontId="0" fillId="0" borderId="28" xfId="0" applyFont="1" applyFill="1" applyBorder="1" applyAlignment="1" applyProtection="1">
      <alignment vertical="center" shrinkToFit="1"/>
      <protection hidden="1"/>
    </xf>
    <xf numFmtId="3" fontId="2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3" fontId="0" fillId="0" borderId="0" xfId="0" applyNumberFormat="1" applyFont="1" applyFill="1" applyAlignment="1" applyProtection="1">
      <alignment horizontal="center" vertical="center"/>
      <protection hidden="1"/>
    </xf>
    <xf numFmtId="0" fontId="0" fillId="0" borderId="50" xfId="0" applyFont="1" applyBorder="1" applyAlignment="1" applyProtection="1">
      <alignment vertical="center" shrinkToFit="1"/>
      <protection hidden="1"/>
    </xf>
    <xf numFmtId="0" fontId="2" fillId="0" borderId="47" xfId="0" applyFont="1" applyBorder="1" applyAlignment="1" applyProtection="1">
      <alignment vertical="center" wrapText="1"/>
      <protection hidden="1"/>
    </xf>
    <xf numFmtId="3" fontId="2" fillId="0" borderId="51" xfId="0" applyNumberFormat="1" applyFont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vertical="center" shrinkToFit="1"/>
      <protection hidden="1"/>
    </xf>
    <xf numFmtId="3" fontId="2" fillId="0" borderId="46" xfId="0" applyNumberFormat="1" applyFont="1" applyBorder="1" applyAlignment="1" applyProtection="1">
      <alignment horizontal="center" vertical="center" wrapText="1"/>
      <protection hidden="1"/>
    </xf>
    <xf numFmtId="3" fontId="2" fillId="0" borderId="4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52" xfId="0" applyFont="1" applyFill="1" applyBorder="1" applyAlignment="1" applyProtection="1">
      <alignment horizontal="center" vertical="center" wrapText="1" shrinkToFit="1"/>
      <protection hidden="1"/>
    </xf>
    <xf numFmtId="0" fontId="9" fillId="35" borderId="43" xfId="0" applyFont="1" applyFill="1" applyBorder="1" applyAlignment="1" applyProtection="1">
      <alignment horizontal="center" vertical="center" wrapText="1" shrinkToFit="1"/>
      <protection hidden="1"/>
    </xf>
    <xf numFmtId="0" fontId="2" fillId="40" borderId="53" xfId="0" applyFont="1" applyFill="1" applyBorder="1" applyAlignment="1" applyProtection="1">
      <alignment vertical="center"/>
      <protection hidden="1"/>
    </xf>
    <xf numFmtId="0" fontId="2" fillId="40" borderId="54" xfId="0" applyFont="1" applyFill="1" applyBorder="1" applyAlignment="1" applyProtection="1">
      <alignment vertical="center"/>
      <protection hidden="1"/>
    </xf>
    <xf numFmtId="0" fontId="2" fillId="40" borderId="55" xfId="0" applyFont="1" applyFill="1" applyBorder="1" applyAlignment="1" applyProtection="1">
      <alignment vertical="center"/>
      <protection hidden="1"/>
    </xf>
    <xf numFmtId="0" fontId="9" fillId="35" borderId="22" xfId="0" applyFont="1" applyFill="1" applyBorder="1" applyAlignment="1" applyProtection="1">
      <alignment horizontal="center" vertical="center" shrinkToFit="1"/>
      <protection hidden="1"/>
    </xf>
    <xf numFmtId="0" fontId="4" fillId="34" borderId="26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56" xfId="0" applyFont="1" applyFill="1" applyBorder="1" applyAlignment="1" applyProtection="1">
      <alignment horizontal="center" vertical="center" wrapText="1"/>
      <protection/>
    </xf>
    <xf numFmtId="0" fontId="0" fillId="41" borderId="13" xfId="0" applyFill="1" applyBorder="1" applyAlignment="1" applyProtection="1">
      <alignment/>
      <protection/>
    </xf>
    <xf numFmtId="0" fontId="0" fillId="41" borderId="20" xfId="0" applyFill="1" applyBorder="1" applyAlignment="1" applyProtection="1">
      <alignment/>
      <protection/>
    </xf>
    <xf numFmtId="0" fontId="0" fillId="41" borderId="20" xfId="0" applyFont="1" applyFill="1" applyBorder="1" applyAlignment="1" applyProtection="1">
      <alignment horizontal="center" shrinkToFit="1"/>
      <protection/>
    </xf>
    <xf numFmtId="0" fontId="0" fillId="41" borderId="20" xfId="0" applyFill="1" applyBorder="1" applyAlignment="1" applyProtection="1">
      <alignment horizontal="center"/>
      <protection/>
    </xf>
    <xf numFmtId="0" fontId="0" fillId="41" borderId="20" xfId="0" applyNumberFormat="1" applyFill="1" applyBorder="1" applyAlignment="1" applyProtection="1">
      <alignment/>
      <protection/>
    </xf>
    <xf numFmtId="0" fontId="2" fillId="41" borderId="18" xfId="0" applyNumberFormat="1" applyFont="1" applyFill="1" applyBorder="1" applyAlignment="1" applyProtection="1">
      <alignment vertical="center"/>
      <protection/>
    </xf>
    <xf numFmtId="0" fontId="0" fillId="41" borderId="14" xfId="0" applyFill="1" applyBorder="1" applyAlignment="1" applyProtection="1">
      <alignment/>
      <protection/>
    </xf>
    <xf numFmtId="0" fontId="2" fillId="41" borderId="19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 shrinkToFit="1"/>
      <protection locked="0"/>
    </xf>
    <xf numFmtId="0" fontId="9" fillId="35" borderId="20" xfId="0" applyFont="1" applyFill="1" applyBorder="1" applyAlignment="1" applyProtection="1">
      <alignment horizontal="center" vertical="center"/>
      <protection hidden="1"/>
    </xf>
    <xf numFmtId="3" fontId="8" fillId="35" borderId="57" xfId="0" applyNumberFormat="1" applyFont="1" applyFill="1" applyBorder="1" applyAlignment="1" applyProtection="1">
      <alignment horizontal="center" vertical="center"/>
      <protection hidden="1"/>
    </xf>
    <xf numFmtId="0" fontId="0" fillId="41" borderId="19" xfId="0" applyFill="1" applyBorder="1" applyAlignment="1" applyProtection="1">
      <alignment/>
      <protection/>
    </xf>
    <xf numFmtId="0" fontId="9" fillId="35" borderId="47" xfId="0" applyFont="1" applyFill="1" applyBorder="1" applyAlignment="1" applyProtection="1">
      <alignment vertical="center"/>
      <protection hidden="1"/>
    </xf>
    <xf numFmtId="0" fontId="9" fillId="35" borderId="47" xfId="0" applyFont="1" applyFill="1" applyBorder="1" applyAlignment="1" applyProtection="1">
      <alignment horizontal="right" vertical="center"/>
      <protection hidden="1"/>
    </xf>
    <xf numFmtId="0" fontId="9" fillId="35" borderId="45" xfId="0" applyFont="1" applyFill="1" applyBorder="1" applyAlignment="1" applyProtection="1">
      <alignment vertical="center"/>
      <protection hidden="1"/>
    </xf>
    <xf numFmtId="0" fontId="8" fillId="35" borderId="47" xfId="0" applyFont="1" applyFill="1" applyBorder="1" applyAlignment="1" applyProtection="1">
      <alignment horizontal="right" vertical="center"/>
      <protection hidden="1"/>
    </xf>
    <xf numFmtId="0" fontId="9" fillId="35" borderId="47" xfId="0" applyFont="1" applyFill="1" applyBorder="1" applyAlignment="1" applyProtection="1">
      <alignment horizontal="center" vertical="center"/>
      <protection hidden="1"/>
    </xf>
    <xf numFmtId="0" fontId="8" fillId="35" borderId="58" xfId="0" applyFont="1" applyFill="1" applyBorder="1" applyAlignment="1" applyProtection="1">
      <alignment horizontal="center" vertical="center"/>
      <protection hidden="1"/>
    </xf>
    <xf numFmtId="0" fontId="9" fillId="35" borderId="59" xfId="0" applyFont="1" applyFill="1" applyBorder="1" applyAlignment="1" applyProtection="1">
      <alignment vertical="center"/>
      <protection hidden="1"/>
    </xf>
    <xf numFmtId="0" fontId="9" fillId="35" borderId="38" xfId="0" applyFont="1" applyFill="1" applyBorder="1" applyAlignment="1" applyProtection="1">
      <alignment horizontal="right" vertical="center"/>
      <protection hidden="1"/>
    </xf>
    <xf numFmtId="0" fontId="2" fillId="33" borderId="60" xfId="0" applyFont="1" applyFill="1" applyBorder="1" applyAlignment="1" applyProtection="1">
      <alignment horizontal="center" vertical="center" shrinkToFit="1"/>
      <protection locked="0"/>
    </xf>
    <xf numFmtId="0" fontId="9" fillId="35" borderId="38" xfId="0" applyFont="1" applyFill="1" applyBorder="1" applyAlignment="1" applyProtection="1">
      <alignment horizontal="center" vertical="center"/>
      <protection hidden="1"/>
    </xf>
    <xf numFmtId="0" fontId="8" fillId="35" borderId="61" xfId="0" applyFont="1" applyFill="1" applyBorder="1" applyAlignment="1" applyProtection="1">
      <alignment horizontal="center" vertical="center"/>
      <protection hidden="1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0" fontId="2" fillId="0" borderId="60" xfId="0" applyFont="1" applyFill="1" applyBorder="1" applyAlignment="1" applyProtection="1">
      <alignment horizontal="center" vertical="center" shrinkToFit="1"/>
      <protection hidden="1"/>
    </xf>
    <xf numFmtId="0" fontId="5" fillId="0" borderId="60" xfId="0" applyFont="1" applyFill="1" applyBorder="1" applyAlignment="1" applyProtection="1">
      <alignment horizontal="center" vertical="center"/>
      <protection hidden="1"/>
    </xf>
    <xf numFmtId="0" fontId="4" fillId="0" borderId="60" xfId="0" applyFont="1" applyFill="1" applyBorder="1" applyAlignment="1" applyProtection="1">
      <alignment horizontal="center" vertical="center" wrapText="1" shrinkToFit="1"/>
      <protection hidden="1"/>
    </xf>
    <xf numFmtId="0" fontId="4" fillId="34" borderId="60" xfId="0" applyFont="1" applyFill="1" applyBorder="1" applyAlignment="1" applyProtection="1">
      <alignment horizontal="center" vertical="center" wrapText="1"/>
      <protection locked="0"/>
    </xf>
    <xf numFmtId="0" fontId="0" fillId="41" borderId="15" xfId="0" applyFill="1" applyBorder="1" applyAlignment="1" applyProtection="1">
      <alignment/>
      <protection/>
    </xf>
    <xf numFmtId="0" fontId="0" fillId="41" borderId="16" xfId="0" applyFill="1" applyBorder="1" applyAlignment="1" applyProtection="1">
      <alignment/>
      <protection/>
    </xf>
    <xf numFmtId="0" fontId="0" fillId="41" borderId="16" xfId="0" applyFont="1" applyFill="1" applyBorder="1" applyAlignment="1" applyProtection="1">
      <alignment horizontal="center" shrinkToFit="1"/>
      <protection/>
    </xf>
    <xf numFmtId="0" fontId="0" fillId="41" borderId="16" xfId="0" applyFill="1" applyBorder="1" applyAlignment="1" applyProtection="1">
      <alignment horizontal="center"/>
      <protection/>
    </xf>
    <xf numFmtId="0" fontId="0" fillId="41" borderId="16" xfId="0" applyNumberFormat="1" applyFill="1" applyBorder="1" applyAlignment="1" applyProtection="1">
      <alignment/>
      <protection/>
    </xf>
    <xf numFmtId="0" fontId="0" fillId="41" borderId="17" xfId="0" applyFill="1" applyBorder="1" applyAlignment="1" applyProtection="1">
      <alignment/>
      <protection/>
    </xf>
    <xf numFmtId="0" fontId="18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62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6" fillId="0" borderId="46" xfId="0" applyFont="1" applyBorder="1" applyAlignment="1" applyProtection="1">
      <alignment/>
      <protection/>
    </xf>
    <xf numFmtId="49" fontId="6" fillId="0" borderId="46" xfId="0" applyNumberFormat="1" applyFont="1" applyBorder="1" applyAlignment="1" applyProtection="1">
      <alignment/>
      <protection/>
    </xf>
    <xf numFmtId="49" fontId="6" fillId="0" borderId="52" xfId="0" applyNumberFormat="1" applyFont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52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4" fillId="0" borderId="62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4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50" xfId="0" applyFont="1" applyFill="1" applyBorder="1" applyAlignment="1" applyProtection="1">
      <alignment vertical="center"/>
      <protection/>
    </xf>
    <xf numFmtId="0" fontId="4" fillId="0" borderId="5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6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40" xfId="0" applyNumberFormat="1" applyFont="1" applyFill="1" applyBorder="1" applyAlignment="1" applyProtection="1">
      <alignment horizontal="center" vertical="center"/>
      <protection/>
    </xf>
    <xf numFmtId="0" fontId="4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5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34" borderId="12" xfId="0" applyNumberFormat="1" applyFont="1" applyFill="1" applyBorder="1" applyAlignment="1" applyProtection="1">
      <alignment horizontal="center" vertical="center" wrapText="1"/>
      <protection hidden="1"/>
    </xf>
    <xf numFmtId="164" fontId="12" fillId="34" borderId="12" xfId="0" applyNumberFormat="1" applyFont="1" applyFill="1" applyBorder="1" applyAlignment="1" applyProtection="1">
      <alignment horizontal="center" vertical="center"/>
      <protection hidden="1"/>
    </xf>
    <xf numFmtId="0" fontId="3" fillId="38" borderId="1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0" fillId="0" borderId="47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48" xfId="0" applyNumberFormat="1" applyFont="1" applyBorder="1" applyAlignment="1" applyProtection="1">
      <alignment/>
      <protection/>
    </xf>
    <xf numFmtId="0" fontId="18" fillId="0" borderId="50" xfId="0" applyFont="1" applyBorder="1" applyAlignment="1" applyProtection="1">
      <alignment/>
      <protection/>
    </xf>
    <xf numFmtId="0" fontId="18" fillId="0" borderId="49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3" fontId="3" fillId="0" borderId="51" xfId="0" applyNumberFormat="1" applyFont="1" applyBorder="1" applyAlignment="1" applyProtection="1">
      <alignment horizontal="center" vertical="center"/>
      <protection/>
    </xf>
    <xf numFmtId="3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52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0" fillId="0" borderId="47" xfId="0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48" xfId="0" applyFont="1" applyFill="1" applyBorder="1" applyAlignment="1" applyProtection="1">
      <alignment vertical="center" shrinkToFit="1"/>
      <protection/>
    </xf>
    <xf numFmtId="0" fontId="0" fillId="0" borderId="47" xfId="0" applyFont="1" applyBorder="1" applyAlignment="1" applyProtection="1">
      <alignment vertical="center" shrinkToFit="1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0" fillId="0" borderId="48" xfId="0" applyFont="1" applyBorder="1" applyAlignment="1" applyProtection="1">
      <alignment vertical="center" shrinkToFit="1"/>
      <protection/>
    </xf>
    <xf numFmtId="0" fontId="0" fillId="0" borderId="49" xfId="0" applyFont="1" applyFill="1" applyBorder="1" applyAlignment="1" applyProtection="1">
      <alignment vertical="center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 applyProtection="1">
      <alignment vertical="center" wrapText="1" shrinkToFit="1"/>
      <protection/>
    </xf>
    <xf numFmtId="0" fontId="0" fillId="0" borderId="50" xfId="0" applyFont="1" applyBorder="1" applyAlignment="1" applyProtection="1">
      <alignment vertical="center" shrinkToFit="1"/>
      <protection/>
    </xf>
    <xf numFmtId="0" fontId="0" fillId="0" borderId="49" xfId="0" applyFont="1" applyBorder="1" applyAlignment="1" applyProtection="1">
      <alignment vertical="center" shrinkToFit="1"/>
      <protection/>
    </xf>
    <xf numFmtId="0" fontId="0" fillId="0" borderId="28" xfId="0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47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48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47" xfId="0" applyFont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vertical="center" wrapText="1"/>
      <protection hidden="1"/>
    </xf>
    <xf numFmtId="3" fontId="0" fillId="0" borderId="0" xfId="0" applyNumberFormat="1" applyFont="1" applyAlignment="1" applyProtection="1">
      <alignment horizontal="center" vertical="center"/>
      <protection/>
    </xf>
    <xf numFmtId="3" fontId="0" fillId="0" borderId="47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48" xfId="0" applyNumberFormat="1" applyFont="1" applyFill="1" applyBorder="1" applyAlignment="1" applyProtection="1">
      <alignment horizontal="center" vertical="center"/>
      <protection/>
    </xf>
    <xf numFmtId="3" fontId="0" fillId="0" borderId="47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horizontal="center" vertical="center"/>
      <protection/>
    </xf>
    <xf numFmtId="3" fontId="0" fillId="0" borderId="48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vertical="center" shrinkToFit="1"/>
      <protection/>
    </xf>
    <xf numFmtId="3" fontId="2" fillId="0" borderId="12" xfId="0" applyNumberFormat="1" applyFont="1" applyFill="1" applyBorder="1" applyAlignment="1" applyProtection="1">
      <alignment horizontal="center" vertical="center" shrinkToFit="1"/>
      <protection hidden="1"/>
    </xf>
    <xf numFmtId="3" fontId="2" fillId="0" borderId="60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3" fontId="9" fillId="35" borderId="47" xfId="0" applyNumberFormat="1" applyFont="1" applyFill="1" applyBorder="1" applyAlignment="1" applyProtection="1">
      <alignment horizontal="center" vertical="center"/>
      <protection hidden="1"/>
    </xf>
    <xf numFmtId="3" fontId="2" fillId="0" borderId="3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33" xfId="0" applyNumberFormat="1" applyFont="1" applyFill="1" applyBorder="1" applyAlignment="1" applyProtection="1">
      <alignment horizontal="right" vertical="center" shrinkToFit="1"/>
      <protection hidden="1"/>
    </xf>
    <xf numFmtId="3" fontId="9" fillId="35" borderId="38" xfId="0" applyNumberFormat="1" applyFont="1" applyFill="1" applyBorder="1" applyAlignment="1" applyProtection="1">
      <alignment horizontal="center" vertical="center"/>
      <protection hidden="1"/>
    </xf>
    <xf numFmtId="3" fontId="2" fillId="0" borderId="1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17" xfId="0" applyNumberFormat="1" applyFont="1" applyFill="1" applyBorder="1" applyAlignment="1" applyProtection="1">
      <alignment horizontal="right" vertical="center" shrinkToFit="1"/>
      <protection hidden="1"/>
    </xf>
    <xf numFmtId="3" fontId="14" fillId="0" borderId="36" xfId="0" applyNumberFormat="1" applyFont="1" applyFill="1" applyBorder="1" applyAlignment="1" applyProtection="1">
      <alignment horizontal="center" vertical="center" shrinkToFit="1"/>
      <protection hidden="1"/>
    </xf>
    <xf numFmtId="3" fontId="14" fillId="0" borderId="35" xfId="0" applyNumberFormat="1" applyFont="1" applyFill="1" applyBorder="1" applyAlignment="1" applyProtection="1">
      <alignment horizontal="center" vertical="center" shrinkToFit="1"/>
      <protection hidden="1"/>
    </xf>
    <xf numFmtId="3" fontId="9" fillId="35" borderId="31" xfId="0" applyNumberFormat="1" applyFont="1" applyFill="1" applyBorder="1" applyAlignment="1" applyProtection="1">
      <alignment horizontal="center" vertical="center"/>
      <protection hidden="1"/>
    </xf>
    <xf numFmtId="0" fontId="53" fillId="41" borderId="30" xfId="0" applyFont="1" applyFill="1" applyBorder="1" applyAlignment="1" applyProtection="1">
      <alignment horizontal="center" vertical="center"/>
      <protection/>
    </xf>
    <xf numFmtId="0" fontId="53" fillId="41" borderId="36" xfId="0" applyFont="1" applyFill="1" applyBorder="1" applyAlignment="1" applyProtection="1">
      <alignment horizontal="center" vertical="center"/>
      <protection/>
    </xf>
    <xf numFmtId="0" fontId="53" fillId="41" borderId="35" xfId="0" applyFont="1" applyFill="1" applyBorder="1" applyAlignment="1" applyProtection="1">
      <alignment horizontal="center" vertical="center"/>
      <protection/>
    </xf>
    <xf numFmtId="3" fontId="9" fillId="35" borderId="34" xfId="0" applyNumberFormat="1" applyFont="1" applyFill="1" applyBorder="1" applyAlignment="1" applyProtection="1">
      <alignment horizontal="center" vertical="center"/>
      <protection hidden="1"/>
    </xf>
    <xf numFmtId="3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31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48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32" xfId="0" applyNumberFormat="1" applyFont="1" applyFill="1" applyBorder="1" applyAlignment="1" applyProtection="1">
      <alignment horizontal="right" vertical="center" shrinkToFit="1"/>
      <protection hidden="1"/>
    </xf>
    <xf numFmtId="0" fontId="2" fillId="40" borderId="63" xfId="0" applyFont="1" applyFill="1" applyBorder="1" applyAlignment="1" applyProtection="1">
      <alignment horizontal="left" vertical="center"/>
      <protection hidden="1"/>
    </xf>
    <xf numFmtId="0" fontId="2" fillId="40" borderId="16" xfId="0" applyFont="1" applyFill="1" applyBorder="1" applyAlignment="1" applyProtection="1">
      <alignment horizontal="left" vertical="center"/>
      <protection hidden="1"/>
    </xf>
    <xf numFmtId="0" fontId="2" fillId="40" borderId="17" xfId="0" applyFont="1" applyFill="1" applyBorder="1" applyAlignment="1" applyProtection="1">
      <alignment horizontal="left" vertical="center"/>
      <protection hidden="1"/>
    </xf>
    <xf numFmtId="0" fontId="9" fillId="35" borderId="42" xfId="0" applyFont="1" applyFill="1" applyBorder="1" applyAlignment="1" applyProtection="1">
      <alignment horizontal="center" vertical="center" wrapText="1" shrinkToFit="1"/>
      <protection hidden="1"/>
    </xf>
    <xf numFmtId="0" fontId="9" fillId="35" borderId="36" xfId="0" applyFont="1" applyFill="1" applyBorder="1" applyAlignment="1" applyProtection="1">
      <alignment horizontal="center" vertical="center" wrapText="1" shrinkToFit="1"/>
      <protection hidden="1"/>
    </xf>
    <xf numFmtId="0" fontId="9" fillId="35" borderId="35" xfId="0" applyFont="1" applyFill="1" applyBorder="1" applyAlignment="1" applyProtection="1">
      <alignment horizontal="center" vertical="center" wrapText="1" shrinkToFit="1"/>
      <protection hidden="1"/>
    </xf>
    <xf numFmtId="0" fontId="2" fillId="40" borderId="64" xfId="0" applyFont="1" applyFill="1" applyBorder="1" applyAlignment="1" applyProtection="1">
      <alignment horizontal="left" vertical="center"/>
      <protection hidden="1"/>
    </xf>
    <xf numFmtId="0" fontId="2" fillId="40" borderId="20" xfId="0" applyFont="1" applyFill="1" applyBorder="1" applyAlignment="1" applyProtection="1">
      <alignment horizontal="left" vertical="center"/>
      <protection hidden="1"/>
    </xf>
    <xf numFmtId="0" fontId="2" fillId="40" borderId="18" xfId="0" applyFont="1" applyFill="1" applyBorder="1" applyAlignment="1" applyProtection="1">
      <alignment horizontal="left" vertical="center"/>
      <protection hidden="1"/>
    </xf>
    <xf numFmtId="0" fontId="5" fillId="40" borderId="49" xfId="0" applyFont="1" applyFill="1" applyBorder="1" applyAlignment="1" applyProtection="1" quotePrefix="1">
      <alignment horizontal="left" vertical="center"/>
      <protection hidden="1"/>
    </xf>
    <xf numFmtId="0" fontId="5" fillId="40" borderId="0" xfId="0" applyFont="1" applyFill="1" applyBorder="1" applyAlignment="1" applyProtection="1" quotePrefix="1">
      <alignment horizontal="left" vertical="center"/>
      <protection hidden="1"/>
    </xf>
    <xf numFmtId="0" fontId="5" fillId="40" borderId="19" xfId="0" applyFont="1" applyFill="1" applyBorder="1" applyAlignment="1" applyProtection="1" quotePrefix="1">
      <alignment horizontal="left" vertical="center"/>
      <protection hidden="1"/>
    </xf>
    <xf numFmtId="3" fontId="5" fillId="0" borderId="36" xfId="0" applyNumberFormat="1" applyFont="1" applyFill="1" applyBorder="1" applyAlignment="1" applyProtection="1">
      <alignment horizontal="center" vertical="center" shrinkToFit="1"/>
      <protection hidden="1"/>
    </xf>
    <xf numFmtId="3" fontId="5" fillId="0" borderId="35" xfId="0" applyNumberFormat="1" applyFont="1" applyFill="1" applyBorder="1" applyAlignment="1" applyProtection="1">
      <alignment horizontal="center" vertical="center" shrinkToFit="1"/>
      <protection hidden="1"/>
    </xf>
    <xf numFmtId="0" fontId="2" fillId="40" borderId="28" xfId="0" applyFont="1" applyFill="1" applyBorder="1" applyAlignment="1" applyProtection="1">
      <alignment horizontal="left" vertical="center"/>
      <protection hidden="1"/>
    </xf>
    <xf numFmtId="0" fontId="2" fillId="40" borderId="48" xfId="0" applyFont="1" applyFill="1" applyBorder="1" applyAlignment="1" applyProtection="1">
      <alignment horizontal="left" vertical="center"/>
      <protection hidden="1"/>
    </xf>
    <xf numFmtId="0" fontId="2" fillId="40" borderId="32" xfId="0" applyFont="1" applyFill="1" applyBorder="1" applyAlignment="1" applyProtection="1">
      <alignment horizontal="left" vertical="center"/>
      <protection hidden="1"/>
    </xf>
    <xf numFmtId="0" fontId="9" fillId="35" borderId="30" xfId="0" applyFont="1" applyFill="1" applyBorder="1" applyAlignment="1" applyProtection="1">
      <alignment horizontal="center" vertical="center" wrapText="1" shrinkToFit="1"/>
      <protection hidden="1"/>
    </xf>
    <xf numFmtId="0" fontId="0" fillId="35" borderId="29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10" fillId="35" borderId="30" xfId="0" applyFont="1" applyFill="1" applyBorder="1" applyAlignment="1" applyProtection="1">
      <alignment horizontal="left" wrapText="1"/>
      <protection hidden="1"/>
    </xf>
    <xf numFmtId="0" fontId="10" fillId="35" borderId="36" xfId="0" applyFont="1" applyFill="1" applyBorder="1" applyAlignment="1" applyProtection="1">
      <alignment horizontal="left"/>
      <protection hidden="1"/>
    </xf>
    <xf numFmtId="0" fontId="2" fillId="40" borderId="50" xfId="0" applyFont="1" applyFill="1" applyBorder="1" applyAlignment="1" applyProtection="1">
      <alignment horizontal="left" vertical="center"/>
      <protection hidden="1"/>
    </xf>
    <xf numFmtId="0" fontId="2" fillId="40" borderId="47" xfId="0" applyFont="1" applyFill="1" applyBorder="1" applyAlignment="1" applyProtection="1">
      <alignment horizontal="left" vertical="center"/>
      <protection hidden="1"/>
    </xf>
    <xf numFmtId="0" fontId="2" fillId="40" borderId="58" xfId="0" applyFont="1" applyFill="1" applyBorder="1" applyAlignment="1" applyProtection="1">
      <alignment horizontal="left" vertical="center"/>
      <protection hidden="1"/>
    </xf>
    <xf numFmtId="3" fontId="13" fillId="42" borderId="51" xfId="0" applyNumberFormat="1" applyFont="1" applyFill="1" applyBorder="1" applyAlignment="1" applyProtection="1">
      <alignment horizontal="center" vertical="center" textRotation="180"/>
      <protection hidden="1"/>
    </xf>
    <xf numFmtId="3" fontId="13" fillId="42" borderId="46" xfId="0" applyNumberFormat="1" applyFont="1" applyFill="1" applyBorder="1" applyAlignment="1" applyProtection="1">
      <alignment horizontal="center" vertical="center" textRotation="180"/>
      <protection hidden="1"/>
    </xf>
    <xf numFmtId="3" fontId="13" fillId="39" borderId="51" xfId="0" applyNumberFormat="1" applyFont="1" applyFill="1" applyBorder="1" applyAlignment="1" applyProtection="1">
      <alignment horizontal="center" vertical="center" textRotation="180"/>
      <protection hidden="1"/>
    </xf>
    <xf numFmtId="3" fontId="13" fillId="39" borderId="46" xfId="0" applyNumberFormat="1" applyFont="1" applyFill="1" applyBorder="1" applyAlignment="1" applyProtection="1">
      <alignment horizontal="center" vertical="center" textRotation="180"/>
      <protection hidden="1"/>
    </xf>
    <xf numFmtId="3" fontId="13" fillId="39" borderId="52" xfId="0" applyNumberFormat="1" applyFont="1" applyFill="1" applyBorder="1" applyAlignment="1" applyProtection="1">
      <alignment horizontal="center" vertical="center" textRotation="180"/>
      <protection hidden="1"/>
    </xf>
    <xf numFmtId="3" fontId="13" fillId="42" borderId="52" xfId="0" applyNumberFormat="1" applyFont="1" applyFill="1" applyBorder="1" applyAlignment="1" applyProtection="1">
      <alignment horizontal="center" vertical="center" textRotation="180"/>
      <protection hidden="1"/>
    </xf>
    <xf numFmtId="3" fontId="13" fillId="43" borderId="51" xfId="0" applyNumberFormat="1" applyFont="1" applyFill="1" applyBorder="1" applyAlignment="1" applyProtection="1">
      <alignment horizontal="center" vertical="center" textRotation="180"/>
      <protection hidden="1"/>
    </xf>
    <xf numFmtId="3" fontId="13" fillId="43" borderId="46" xfId="0" applyNumberFormat="1" applyFont="1" applyFill="1" applyBorder="1" applyAlignment="1" applyProtection="1">
      <alignment horizontal="center" vertical="center" textRotation="180"/>
      <protection hidden="1"/>
    </xf>
    <xf numFmtId="3" fontId="13" fillId="43" borderId="52" xfId="0" applyNumberFormat="1" applyFont="1" applyFill="1" applyBorder="1" applyAlignment="1" applyProtection="1">
      <alignment horizontal="center" vertical="center" textRotation="180"/>
      <protection hidden="1"/>
    </xf>
    <xf numFmtId="3" fontId="13" fillId="39" borderId="51" xfId="0" applyNumberFormat="1" applyFont="1" applyFill="1" applyBorder="1" applyAlignment="1" applyProtection="1">
      <alignment horizontal="center" vertical="center" textRotation="180"/>
      <protection/>
    </xf>
    <xf numFmtId="3" fontId="13" fillId="39" borderId="46" xfId="0" applyNumberFormat="1" applyFont="1" applyFill="1" applyBorder="1" applyAlignment="1" applyProtection="1">
      <alignment horizontal="center" vertical="center" textRotation="180"/>
      <protection/>
    </xf>
    <xf numFmtId="3" fontId="13" fillId="39" borderId="52" xfId="0" applyNumberFormat="1" applyFont="1" applyFill="1" applyBorder="1" applyAlignment="1" applyProtection="1">
      <alignment horizontal="center" vertical="center" textRotation="180"/>
      <protection/>
    </xf>
    <xf numFmtId="3" fontId="13" fillId="43" borderId="51" xfId="0" applyNumberFormat="1" applyFont="1" applyFill="1" applyBorder="1" applyAlignment="1" applyProtection="1">
      <alignment horizontal="center" vertical="center" textRotation="180"/>
      <protection/>
    </xf>
    <xf numFmtId="3" fontId="13" fillId="43" borderId="46" xfId="0" applyNumberFormat="1" applyFont="1" applyFill="1" applyBorder="1" applyAlignment="1" applyProtection="1">
      <alignment horizontal="center" vertical="center" textRotation="180"/>
      <protection/>
    </xf>
    <xf numFmtId="3" fontId="13" fillId="43" borderId="52" xfId="0" applyNumberFormat="1" applyFont="1" applyFill="1" applyBorder="1" applyAlignment="1" applyProtection="1">
      <alignment horizontal="center" vertical="center" textRotation="180"/>
      <protection/>
    </xf>
    <xf numFmtId="3" fontId="13" fillId="42" borderId="51" xfId="0" applyNumberFormat="1" applyFont="1" applyFill="1" applyBorder="1" applyAlignment="1" applyProtection="1">
      <alignment horizontal="center" vertical="center" textRotation="180"/>
      <protection/>
    </xf>
    <xf numFmtId="3" fontId="13" fillId="42" borderId="46" xfId="0" applyNumberFormat="1" applyFont="1" applyFill="1" applyBorder="1" applyAlignment="1" applyProtection="1">
      <alignment horizontal="center" vertical="center" textRotation="180"/>
      <protection/>
    </xf>
    <xf numFmtId="3" fontId="13" fillId="42" borderId="52" xfId="0" applyNumberFormat="1" applyFont="1" applyFill="1" applyBorder="1" applyAlignment="1" applyProtection="1">
      <alignment horizontal="center" vertical="center" textRotation="180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1">
    <dxf>
      <font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b/>
        <i val="0"/>
        <color auto="1"/>
      </font>
      <fill>
        <patternFill>
          <bgColor indexed="29"/>
        </patternFill>
      </fill>
    </dxf>
    <dxf>
      <font>
        <b/>
        <i val="0"/>
        <strike val="0"/>
        <color auto="1"/>
      </font>
      <fill>
        <patternFill patternType="solid">
          <fgColor indexed="65"/>
          <bgColor indexed="50"/>
        </patternFill>
      </fill>
    </dxf>
    <dxf>
      <fill>
        <patternFill>
          <bgColor rgb="FFFFFF00"/>
        </patternFill>
      </fill>
    </dxf>
    <dxf>
      <fill>
        <patternFill>
          <bgColor indexed="22"/>
        </patternFill>
      </fill>
    </dxf>
    <dxf>
      <font>
        <color indexed="16"/>
      </font>
    </dxf>
    <dxf>
      <fill>
        <patternFill>
          <bgColor indexed="61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000"/>
      <rgbColor rgb="000000FF"/>
      <rgbColor rgb="00FFFF00"/>
      <rgbColor rgb="00FF00FF"/>
      <rgbColor rgb="00EBFFFF"/>
      <rgbColor rgb="00800000"/>
      <rgbColor rgb="00008000"/>
      <rgbColor rgb="00000080"/>
      <rgbColor rgb="00808000"/>
      <rgbColor rgb="00969696"/>
      <rgbColor rgb="00008080"/>
      <rgbColor rgb="00D5D5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F4FD"/>
      <rgbColor rgb="003FCF3F"/>
      <rgbColor rgb="00008200"/>
      <rgbColor rgb="0099CCFF"/>
      <rgbColor rgb="00C20000"/>
      <rgbColor rgb="00EAEAEA"/>
      <rgbColor rgb="00006200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B9B9B9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9</xdr:col>
      <xdr:colOff>1476375</xdr:colOff>
      <xdr:row>1</xdr:row>
      <xdr:rowOff>1114425</xdr:rowOff>
    </xdr:to>
    <xdr:pic>
      <xdr:nvPicPr>
        <xdr:cNvPr id="1" name="Picture 85" descr="logo_ros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467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1352550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4124325" y="5229225"/>
          <a:ext cx="1352550" cy="1724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9</xdr:col>
      <xdr:colOff>1876425</xdr:colOff>
      <xdr:row>1</xdr:row>
      <xdr:rowOff>47625</xdr:rowOff>
    </xdr:from>
    <xdr:to>
      <xdr:col>26</xdr:col>
      <xdr:colOff>76200</xdr:colOff>
      <xdr:row>1</xdr:row>
      <xdr:rowOff>1066800</xdr:rowOff>
    </xdr:to>
    <xdr:pic>
      <xdr:nvPicPr>
        <xdr:cNvPr id="3" name="Picture 86" descr="bbtit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152400"/>
          <a:ext cx="4448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1</xdr:row>
      <xdr:rowOff>9525</xdr:rowOff>
    </xdr:from>
    <xdr:to>
      <xdr:col>30</xdr:col>
      <xdr:colOff>76200</xdr:colOff>
      <xdr:row>1</xdr:row>
      <xdr:rowOff>1114425</xdr:rowOff>
    </xdr:to>
    <xdr:pic>
      <xdr:nvPicPr>
        <xdr:cNvPr id="4" name="Picture 89" descr="LLL albero_riduc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96575" y="1143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41"/>
  <sheetViews>
    <sheetView tabSelected="1" zoomScale="85" zoomScaleNormal="85" zoomScalePageLayoutView="0" workbookViewId="0" topLeftCell="A4">
      <selection activeCell="E4" sqref="E4"/>
    </sheetView>
  </sheetViews>
  <sheetFormatPr defaultColWidth="0" defaultRowHeight="0" customHeight="1" zeroHeight="1"/>
  <cols>
    <col min="1" max="1" width="1.7109375" style="2" customWidth="1"/>
    <col min="2" max="2" width="1.8515625" style="2" customWidth="1"/>
    <col min="3" max="3" width="3.140625" style="2" customWidth="1"/>
    <col min="4" max="4" width="18.7109375" style="2" customWidth="1"/>
    <col min="5" max="5" width="19.7109375" style="4" customWidth="1"/>
    <col min="6" max="9" width="4.140625" style="2" customWidth="1"/>
    <col min="10" max="10" width="34.8515625" style="2" customWidth="1"/>
    <col min="11" max="11" width="18.8515625" style="2" customWidth="1"/>
    <col min="12" max="13" width="3.00390625" style="2" customWidth="1"/>
    <col min="14" max="14" width="2.00390625" style="2" customWidth="1"/>
    <col min="15" max="15" width="2.421875" style="53" customWidth="1"/>
    <col min="16" max="16" width="3.00390625" style="5" customWidth="1"/>
    <col min="17" max="17" width="3.7109375" style="5" customWidth="1"/>
    <col min="18" max="19" width="2.140625" style="5" customWidth="1"/>
    <col min="20" max="21" width="2.140625" style="2" customWidth="1"/>
    <col min="22" max="27" width="2.8515625" style="2" customWidth="1"/>
    <col min="28" max="28" width="3.7109375" style="2" customWidth="1"/>
    <col min="29" max="29" width="6.8515625" style="2" customWidth="1"/>
    <col min="30" max="30" width="6.7109375" style="2" customWidth="1"/>
    <col min="31" max="32" width="1.7109375" style="2" customWidth="1"/>
    <col min="33" max="38" width="15.7109375" style="2" customWidth="1"/>
    <col min="39" max="39" width="1.7109375" style="2" customWidth="1"/>
    <col min="40" max="40" width="1.7109375" style="2" hidden="1" customWidth="1"/>
    <col min="41" max="44" width="6.7109375" style="269" hidden="1" customWidth="1"/>
    <col min="45" max="88" width="9.140625" style="2" hidden="1" customWidth="1"/>
    <col min="89" max="16384" width="9.421875" style="2" hidden="1" customWidth="1"/>
  </cols>
  <sheetData>
    <row r="1" ht="8.25" customHeight="1" thickBot="1"/>
    <row r="2" spans="2:31" ht="88.5" customHeight="1" thickBot="1"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1"/>
    </row>
    <row r="3" spans="2:32" ht="8.25" customHeight="1" thickBot="1">
      <c r="B3" s="19"/>
      <c r="C3" s="29"/>
      <c r="D3" s="29"/>
      <c r="E3" s="30"/>
      <c r="F3" s="29"/>
      <c r="G3" s="29"/>
      <c r="H3" s="29"/>
      <c r="I3" s="29"/>
      <c r="J3" s="29"/>
      <c r="K3" s="29"/>
      <c r="L3" s="29"/>
      <c r="M3" s="29"/>
      <c r="N3" s="29"/>
      <c r="O3" s="54"/>
      <c r="P3" s="31"/>
      <c r="Q3" s="31"/>
      <c r="R3" s="31"/>
      <c r="S3" s="31"/>
      <c r="T3" s="29"/>
      <c r="U3" s="29"/>
      <c r="V3" s="29"/>
      <c r="W3" s="29"/>
      <c r="X3" s="29"/>
      <c r="Y3" s="29"/>
      <c r="Z3" s="29"/>
      <c r="AA3" s="29"/>
      <c r="AB3" s="29"/>
      <c r="AC3" s="29"/>
      <c r="AD3" s="32"/>
      <c r="AE3" s="26"/>
      <c r="AF3" s="3"/>
    </row>
    <row r="4" spans="2:44" ht="18" customHeight="1">
      <c r="B4" s="20"/>
      <c r="C4" s="38" t="s">
        <v>151</v>
      </c>
      <c r="D4" s="33" t="s">
        <v>152</v>
      </c>
      <c r="E4" s="34" t="s">
        <v>153</v>
      </c>
      <c r="F4" s="33" t="s">
        <v>19</v>
      </c>
      <c r="G4" s="33" t="s">
        <v>20</v>
      </c>
      <c r="H4" s="33" t="s">
        <v>21</v>
      </c>
      <c r="I4" s="33" t="s">
        <v>154</v>
      </c>
      <c r="J4" s="33" t="s">
        <v>155</v>
      </c>
      <c r="K4" s="34" t="s">
        <v>156</v>
      </c>
      <c r="L4" s="66" t="s">
        <v>291</v>
      </c>
      <c r="M4" s="66" t="s">
        <v>15</v>
      </c>
      <c r="N4" s="34" t="s">
        <v>217</v>
      </c>
      <c r="O4" s="34" t="s">
        <v>15</v>
      </c>
      <c r="P4" s="34" t="s">
        <v>10</v>
      </c>
      <c r="Q4" s="34" t="s">
        <v>292</v>
      </c>
      <c r="R4" s="35" t="s">
        <v>19</v>
      </c>
      <c r="S4" s="35" t="s">
        <v>20</v>
      </c>
      <c r="T4" s="35" t="s">
        <v>21</v>
      </c>
      <c r="U4" s="35" t="s">
        <v>154</v>
      </c>
      <c r="V4" s="36" t="s">
        <v>457</v>
      </c>
      <c r="W4" s="36" t="s">
        <v>16</v>
      </c>
      <c r="X4" s="36" t="s">
        <v>42</v>
      </c>
      <c r="Y4" s="36" t="s">
        <v>43</v>
      </c>
      <c r="Z4" s="36" t="s">
        <v>44</v>
      </c>
      <c r="AA4" s="36" t="s">
        <v>45</v>
      </c>
      <c r="AB4" s="39" t="s">
        <v>46</v>
      </c>
      <c r="AC4" s="40" t="s">
        <v>8</v>
      </c>
      <c r="AD4" s="37" t="s">
        <v>26</v>
      </c>
      <c r="AE4" s="27"/>
      <c r="AF4" s="3"/>
      <c r="AG4" s="40" t="s">
        <v>656</v>
      </c>
      <c r="AH4" s="34" t="s">
        <v>657</v>
      </c>
      <c r="AI4" s="34" t="s">
        <v>658</v>
      </c>
      <c r="AJ4" s="34" t="s">
        <v>659</v>
      </c>
      <c r="AK4" s="34" t="s">
        <v>660</v>
      </c>
      <c r="AL4" s="177" t="s">
        <v>661</v>
      </c>
      <c r="AO4" s="113" t="s">
        <v>19</v>
      </c>
      <c r="AP4" s="113" t="s">
        <v>20</v>
      </c>
      <c r="AQ4" s="113" t="s">
        <v>21</v>
      </c>
      <c r="AR4" s="113" t="s">
        <v>14</v>
      </c>
    </row>
    <row r="5" spans="2:44" ht="18" customHeight="1">
      <c r="B5" s="20"/>
      <c r="C5" s="85">
        <v>1</v>
      </c>
      <c r="D5" s="73"/>
      <c r="E5" s="12">
        <f>IF(Macro!I3&lt;=1,"",VLOOKUP(Macro!I3,Macro!AH:AI,2,FALSE))</f>
      </c>
      <c r="F5" s="13">
        <f>IF(E5&lt;&gt;"",VLOOKUP(E5,Macro!$Q:$Z,2,FALSE)+R5+MacroLega!F3,"")</f>
      </c>
      <c r="G5" s="13">
        <f>IF(E5&lt;&gt;"",VLOOKUP(E5,Macro!$Q:$Z,3,FALSE)+S5+MacroLega!G3,"")</f>
      </c>
      <c r="H5" s="13">
        <f>IF(E5&lt;&gt;"",VLOOKUP(E5,Macro!$Q:$Z,4,FALSE)+T5+MacroLega!H3,"")</f>
      </c>
      <c r="I5" s="13">
        <f>IF(E5&lt;&gt;"",VLOOKUP(E5,Macro!$Q:$Z,5,FALSE)+U5+MacroLega!I3,"")</f>
      </c>
      <c r="J5" s="14">
        <f>IF(E5="","",IF(COUNTIF(E5:E20,E5)&gt;VLOOKUP(E5,Macro!Q:Z,10,FALSE),"ERRORE! TROPPI GIOCATORI IN QUESTO RUOLO!",VLOOKUP(E5,Macro!Q:Z,6,FALSE)))</f>
      </c>
      <c r="K5" s="266">
        <f>IF(MacroLega!N37=0,IF(MacroLega!P37&gt;0,"ERRORE!",AG5&amp;AH5&amp;AI5&amp;AJ5&amp;AK5&amp;AL5),AG5&amp;AH5&amp;AI5&amp;AJ5&amp;AK5&amp;AL5)</f>
      </c>
      <c r="L5" s="67"/>
      <c r="M5" s="67"/>
      <c r="N5" s="16">
        <f aca="true" t="shared" si="0" ref="N5:N20">IF(AB5="Star","n/a",IF(AB5&gt;=176,"7",IF(AB5&gt;=126,"6",IF(AB5&gt;=76,"5",IF(AB5&gt;=51,"4",IF(AB5&gt;=31,"3",IF(AB5&gt;=16,"2",IF(AB5&gt;=6,"1",""))))))))</f>
      </c>
      <c r="O5" s="16">
        <f>(IF(E5&lt;&gt;"",VLOOKUP(E5,Macro!Q:Z,8,FALSE),""))</f>
      </c>
      <c r="P5" s="16">
        <f>(IF(E5&lt;&gt;"",VLOOKUP(E5,Macro!Q:Z,9,FALSE),""))</f>
      </c>
      <c r="Q5" s="267">
        <f>IF(AB5&lt;&gt;"Star",(IF(ISNUMBER(FIND(MacroLega!R37,O5)),20,0)+IF(ISNUMBER(FIND(MacroLega!S37,O5)),20,0)+IF(ISNUMBER(FIND(MacroLega!T37,O5)),20,0)+IF(ISNUMBER(FIND(MacroLega!U37,O5)),20,0)+IF(ISNUMBER(FIND(MacroLega!V37,O5)),20,0)+IF(ISNUMBER(FIND(MacroLega!W37,O5)),20,0)+IF(ISNUMBER(FIND(MacroLega!R37,P5)),30,0)+IF(ISNUMBER(FIND(MacroLega!S37,P5)),30,0)+IF(ISNUMBER(FIND(MacroLega!T37,P5)),30,0)+IF(ISNUMBER(FIND(MacroLega!U37,P5)),30,0)+IF(ISNUMBER(FIND(MacroLega!V37,P5)),30,0)+IF(ISNUMBER(FIND(MacroLega!W37,P5)),30,0)+SUM(MacroLega!R37:MacroLega!W37)),0)+IF(ISNUMBER(FIND("Horns Luccini",AG5)),20,0)+IF(ISNUMBER(FIND("Horns Luccini",AH5)),20,0)+IF(ISNUMBER(FIND("Horns Luccini",AI5)),20,0)+IF(ISNUMBER(FIND("Horns Luccini",AJ5)),20,0)+IF(ISNUMBER(FIND("Horns Luccini",AK5)),20,0)+IF(ISNUMBER(FIND("Horns Luccini",AL5)),20,0)</f>
        <v>0</v>
      </c>
      <c r="R5" s="268"/>
      <c r="S5" s="268"/>
      <c r="T5" s="268"/>
      <c r="U5" s="268"/>
      <c r="V5" s="70"/>
      <c r="W5" s="70"/>
      <c r="X5" s="70"/>
      <c r="Y5" s="70"/>
      <c r="Z5" s="70"/>
      <c r="AA5" s="70"/>
      <c r="AB5" s="46">
        <f>IF(LEFT(E5,1)="*","Star",V5*1+W5*2+X5*1+Y5*3+Z5*2+AA5*5)</f>
        <v>0</v>
      </c>
      <c r="AC5" s="76">
        <f>IF(L5&lt;&gt;"",(IF(L5="M",Macro!N3)),(""))</f>
      </c>
      <c r="AD5" s="77">
        <f>IF(L5&lt;&gt;"",(IF(L5="M","")),(Macro!N3))</f>
        <v>0</v>
      </c>
      <c r="AE5" s="28"/>
      <c r="AF5" s="1"/>
      <c r="AG5" s="178">
        <f>IF(MacroLega!K3&gt;1,VLOOKUP(MacroLega!K3,MacroLega!$B$2:$C$67,2),"")</f>
      </c>
      <c r="AH5" s="179">
        <f>IF(MacroLega!L3&gt;1,IF(AG5&lt;&gt;"",", ","")&amp;VLOOKUP(MacroLega!L3,MacroLega!$B$2:$C$67,2),"")</f>
      </c>
      <c r="AI5" s="179">
        <f>IF(MacroLega!M3&gt;1,IF(AG5&amp;AH5&lt;&gt;"",", ","")&amp;VLOOKUP(MacroLega!M3,MacroLega!$B$2:$C$67,2),"")</f>
      </c>
      <c r="AJ5" s="179">
        <f>IF(MacroLega!N3&gt;1,IF(AG5&amp;AH5&amp;AI5&lt;&gt;"",", ","")&amp;VLOOKUP(MacroLega!N3,MacroLega!$B$2:$C$65,2),"")</f>
      </c>
      <c r="AK5" s="179">
        <f>IF(MacroLega!O3&gt;1,IF(AG5&amp;AH5&amp;AI5&amp;AJ5&lt;&gt;"",", ","")&amp;VLOOKUP(MacroLega!O3,MacroLega!$B$2:$C$65,2),"")</f>
      </c>
      <c r="AL5" s="180">
        <f>IF(MacroLega!P3&gt;1,IF(AG5&amp;AH5&amp;AI5&amp;AJ5&amp;AK5&lt;&gt;"",", ","")&amp;VLOOKUP(MacroLega!P3,MacroLega!$B$2:$C$65,2),"")</f>
      </c>
      <c r="AO5" s="269" t="e">
        <f>Macro!J3</f>
        <v>#N/A</v>
      </c>
      <c r="AP5" s="269" t="e">
        <f>Macro!K3</f>
        <v>#N/A</v>
      </c>
      <c r="AQ5" s="269" t="e">
        <f>Macro!L3</f>
        <v>#N/A</v>
      </c>
      <c r="AR5" s="269" t="e">
        <f>Macro!M3</f>
        <v>#N/A</v>
      </c>
    </row>
    <row r="6" spans="2:44" ht="18" customHeight="1">
      <c r="B6" s="20"/>
      <c r="C6" s="86">
        <v>2</v>
      </c>
      <c r="D6" s="74"/>
      <c r="E6" s="8">
        <f>IF(Macro!I4&lt;=1,"",VLOOKUP(Macro!I4,Macro!AH:AI,2,FALSE))</f>
      </c>
      <c r="F6" s="13">
        <f>IF(E6&lt;&gt;"",VLOOKUP(E6,Macro!$Q:$Z,2,FALSE)+R6+MacroLega!F4,"")</f>
      </c>
      <c r="G6" s="13">
        <f>IF(E6&lt;&gt;"",VLOOKUP(E6,Macro!$Q:$Z,3,FALSE)+S6+MacroLega!G4,"")</f>
      </c>
      <c r="H6" s="13">
        <f>IF(E6&lt;&gt;"",VLOOKUP(E6,Macro!$Q:$Z,4,FALSE)+T6+MacroLega!H4,"")</f>
      </c>
      <c r="I6" s="13">
        <f>IF(E6&lt;&gt;"",VLOOKUP(E6,Macro!$Q:$Z,5,FALSE)+U6+MacroLega!I4,"")</f>
      </c>
      <c r="J6" s="9">
        <f>IF(E6="","",IF(COUNTIF(E5:E20,E6)&gt;VLOOKUP(E6,Macro!Q:Z,10,FALSE),"ERRORE! TROPPI GIOCATORI IN QUESTO RUOLO!",VLOOKUP(E6,Macro!Q:Z,6,FALSE)))</f>
      </c>
      <c r="K6" s="266">
        <f>IF(MacroLega!N38=0,IF(MacroLega!P38&gt;0,"ERRORE!",AG6&amp;AH6&amp;AI6&amp;AJ6&amp;AK6&amp;AL6),AG6&amp;AH6&amp;AI6&amp;AJ6&amp;AK6&amp;AL6)</f>
      </c>
      <c r="L6" s="68"/>
      <c r="M6" s="68"/>
      <c r="N6" s="11">
        <f t="shared" si="0"/>
      </c>
      <c r="O6" s="11">
        <f>(IF(E6&lt;&gt;"",VLOOKUP(E6,Macro!Q:Z,8,FALSE),""))</f>
      </c>
      <c r="P6" s="11">
        <f>(IF(E6&lt;&gt;"",VLOOKUP(E6,Macro!Q:Z,9,FALSE),""))</f>
      </c>
      <c r="Q6" s="267">
        <f>IF(AB6&lt;&gt;"Star",(IF(ISNUMBER(FIND(MacroLega!R38,O6)),20,0)+IF(ISNUMBER(FIND(MacroLega!S38,O6)),20,0)+IF(ISNUMBER(FIND(MacroLega!T38,O6)),20,0)+IF(ISNUMBER(FIND(MacroLega!U38,O6)),20,0)+IF(ISNUMBER(FIND(MacroLega!V38,O6)),20,0)+IF(ISNUMBER(FIND(MacroLega!W38,O6)),20,0)+IF(ISNUMBER(FIND(MacroLega!R38,P6)),30,0)+IF(ISNUMBER(FIND(MacroLega!S38,P6)),30,0)+IF(ISNUMBER(FIND(MacroLega!T38,P6)),30,0)+IF(ISNUMBER(FIND(MacroLega!U38,P6)),30,0)+IF(ISNUMBER(FIND(MacroLega!V38,P6)),30,0)+IF(ISNUMBER(FIND(MacroLega!W38,P6)),30,0)+SUM(MacroLega!R38:MacroLega!W38)),0)+IF(ISNUMBER(FIND("Horns Luccini",AG6)),20,0)+IF(ISNUMBER(FIND("Horns Luccini",AH6)),20,0)+IF(ISNUMBER(FIND("Horns Luccini",AI6)),20,0)+IF(ISNUMBER(FIND("Horns Luccini",AJ6)),20,0)+IF(ISNUMBER(FIND("Horns Luccini",AK6)),20,0)+IF(ISNUMBER(FIND("Horns Luccini",AL6)),20,0)</f>
        <v>0</v>
      </c>
      <c r="R6" s="268"/>
      <c r="S6" s="268"/>
      <c r="T6" s="268"/>
      <c r="U6" s="268"/>
      <c r="V6" s="71"/>
      <c r="W6" s="71"/>
      <c r="X6" s="71"/>
      <c r="Y6" s="71"/>
      <c r="Z6" s="71"/>
      <c r="AA6" s="71"/>
      <c r="AB6" s="46">
        <f aca="true" t="shared" si="1" ref="AB6:AB20">IF(LEFT(E6,1)="*","Star",V6*1+W6*2+X6*1+Y6*3+Z6*2+AA6*5)</f>
        <v>0</v>
      </c>
      <c r="AC6" s="76">
        <f>IF(L6&lt;&gt;"",(IF(L6="M",Macro!N4)),(""))</f>
      </c>
      <c r="AD6" s="77">
        <f>IF(L6&lt;&gt;"",(IF(L6="M","")),(Macro!N4))</f>
        <v>0</v>
      </c>
      <c r="AE6" s="28"/>
      <c r="AF6" s="1"/>
      <c r="AG6" s="178">
        <f>IF(MacroLega!K4&gt;1,VLOOKUP(MacroLega!K4,MacroLega!$B$2:$C$67,2),"")</f>
      </c>
      <c r="AH6" s="179">
        <f>IF(MacroLega!L4&gt;1,IF(AG6&lt;&gt;"",", ","")&amp;VLOOKUP(MacroLega!L4,MacroLega!$B$2:$C$67,2),"")</f>
      </c>
      <c r="AI6" s="179">
        <f>IF(MacroLega!M4&gt;1,IF(AG6&amp;AH6&lt;&gt;"",", ","")&amp;VLOOKUP(MacroLega!M4,MacroLega!$B$2:$C$67,2),"")</f>
      </c>
      <c r="AJ6" s="179">
        <f>IF(MacroLega!N4&gt;1,IF(AG6&amp;AH6&amp;AI6&lt;&gt;"",", ","")&amp;VLOOKUP(MacroLega!N4,MacroLega!$B$2:$C$65,2),"")</f>
      </c>
      <c r="AK6" s="179">
        <f>IF(MacroLega!O4&gt;1,IF(AG6&amp;AH6&amp;AI6&amp;AJ6&lt;&gt;"",", ","")&amp;VLOOKUP(MacroLega!O4,MacroLega!$B$2:$C$65,2),"")</f>
      </c>
      <c r="AL6" s="180">
        <f>IF(MacroLega!P4&gt;1,IF(AG6&amp;AH6&amp;AI6&amp;AJ6&amp;AK6&lt;&gt;"",", ","")&amp;VLOOKUP(MacroLega!P4,MacroLega!$B$2:$C$65,2),"")</f>
      </c>
      <c r="AO6" s="269" t="e">
        <f>Macro!J4</f>
        <v>#N/A</v>
      </c>
      <c r="AP6" s="269" t="e">
        <f>Macro!K4</f>
        <v>#N/A</v>
      </c>
      <c r="AQ6" s="269" t="e">
        <f>Macro!L4</f>
        <v>#N/A</v>
      </c>
      <c r="AR6" s="269" t="e">
        <f>Macro!M4</f>
        <v>#N/A</v>
      </c>
    </row>
    <row r="7" spans="2:44" ht="18" customHeight="1">
      <c r="B7" s="20"/>
      <c r="C7" s="86">
        <v>3</v>
      </c>
      <c r="D7" s="74"/>
      <c r="E7" s="8">
        <f>IF(Macro!I5&lt;=1,"",VLOOKUP(Macro!I5,Macro!AH:AI,2,FALSE))</f>
      </c>
      <c r="F7" s="13">
        <f>IF(E7&lt;&gt;"",VLOOKUP(E7,Macro!$Q:$Z,2,FALSE)+R7+MacroLega!F5,"")</f>
      </c>
      <c r="G7" s="13">
        <f>IF(E7&lt;&gt;"",VLOOKUP(E7,Macro!$Q:$Z,3,FALSE)+S7+MacroLega!G5,"")</f>
      </c>
      <c r="H7" s="13">
        <f>IF(E7&lt;&gt;"",VLOOKUP(E7,Macro!$Q:$Z,4,FALSE)+T7+MacroLega!H5,"")</f>
      </c>
      <c r="I7" s="13">
        <f>IF(E7&lt;&gt;"",VLOOKUP(E7,Macro!$Q:$Z,5,FALSE)+U7+MacroLega!I5,"")</f>
      </c>
      <c r="J7" s="9">
        <f>IF(E7="","",IF(COUNTIF(E5:E20,E7)&gt;VLOOKUP(E7,Macro!Q:Z,10,FALSE),"ERRORE! TROPPI GIOCATORI IN QUESTO RUOLO!",VLOOKUP(E7,Macro!Q:Z,6,FALSE)))</f>
      </c>
      <c r="K7" s="266">
        <f>IF(MacroLega!N39=0,IF(MacroLega!P39&gt;0,"ERRORE!",AG7&amp;AH7&amp;AI7&amp;AJ7&amp;AK7&amp;AL7),AG7&amp;AH7&amp;AI7&amp;AJ7&amp;AK7&amp;AL7)</f>
      </c>
      <c r="L7" s="68"/>
      <c r="M7" s="68"/>
      <c r="N7" s="11">
        <f t="shared" si="0"/>
      </c>
      <c r="O7" s="11">
        <f>(IF(E7&lt;&gt;"",VLOOKUP(E7,Macro!Q:Z,8,FALSE),""))</f>
      </c>
      <c r="P7" s="11">
        <f>(IF(E7&lt;&gt;"",VLOOKUP(E7,Macro!Q:Z,9,FALSE),""))</f>
      </c>
      <c r="Q7" s="267">
        <f>IF(AB7&lt;&gt;"Star",(IF(ISNUMBER(FIND(MacroLega!R39,O7)),20,0)+IF(ISNUMBER(FIND(MacroLega!S39,O7)),20,0)+IF(ISNUMBER(FIND(MacroLega!T39,O7)),20,0)+IF(ISNUMBER(FIND(MacroLega!U39,O7)),20,0)+IF(ISNUMBER(FIND(MacroLega!V39,O7)),20,0)+IF(ISNUMBER(FIND(MacroLega!W39,O7)),20,0)+IF(ISNUMBER(FIND(MacroLega!R39,P7)),30,0)+IF(ISNUMBER(FIND(MacroLega!S39,P7)),30,0)+IF(ISNUMBER(FIND(MacroLega!T39,P7)),30,0)+IF(ISNUMBER(FIND(MacroLega!U39,P7)),30,0)+IF(ISNUMBER(FIND(MacroLega!V39,P7)),30,0)+IF(ISNUMBER(FIND(MacroLega!W39,P7)),30,0)+SUM(MacroLega!R39:MacroLega!W39)),0)+IF(ISNUMBER(FIND("Horns Luccini",AG7)),20,0)+IF(ISNUMBER(FIND("Horns Luccini",AH7)),20,0)+IF(ISNUMBER(FIND("Horns Luccini",AI7)),20,0)+IF(ISNUMBER(FIND("Horns Luccini",AJ7)),20,0)+IF(ISNUMBER(FIND("Horns Luccini",AK7)),20,0)+IF(ISNUMBER(FIND("Horns Luccini",AL7)),20,0)</f>
        <v>0</v>
      </c>
      <c r="R7" s="268"/>
      <c r="S7" s="268"/>
      <c r="T7" s="268"/>
      <c r="U7" s="268"/>
      <c r="V7" s="71"/>
      <c r="W7" s="71"/>
      <c r="X7" s="71"/>
      <c r="Y7" s="71"/>
      <c r="Z7" s="71"/>
      <c r="AA7" s="71"/>
      <c r="AB7" s="46">
        <f t="shared" si="1"/>
        <v>0</v>
      </c>
      <c r="AC7" s="76">
        <f>IF(L7&lt;&gt;"",(IF(L7="M",Macro!N5)),(""))</f>
      </c>
      <c r="AD7" s="77">
        <f>IF(L7&lt;&gt;"",(IF(L7="M","")),(Macro!N5))</f>
        <v>0</v>
      </c>
      <c r="AE7" s="28"/>
      <c r="AF7" s="1"/>
      <c r="AG7" s="178">
        <f>IF(MacroLega!K5&gt;1,VLOOKUP(MacroLega!K5,MacroLega!$B$2:$C$67,2),"")</f>
      </c>
      <c r="AH7" s="179">
        <f>IF(MacroLega!L5&gt;1,IF(AG7&lt;&gt;"",", ","")&amp;VLOOKUP(MacroLega!L5,MacroLega!$B$2:$C$67,2),"")</f>
      </c>
      <c r="AI7" s="179">
        <f>IF(MacroLega!M5&gt;1,IF(AG7&amp;AH7&lt;&gt;"",", ","")&amp;VLOOKUP(MacroLega!M5,MacroLega!$B$2:$C$67,2),"")</f>
      </c>
      <c r="AJ7" s="179">
        <f>IF(MacroLega!N5&gt;1,IF(AG7&amp;AH7&amp;AI7&lt;&gt;"",", ","")&amp;VLOOKUP(MacroLega!N5,MacroLega!$B$2:$C$65,2),"")</f>
      </c>
      <c r="AK7" s="179">
        <f>IF(MacroLega!O5&gt;1,IF(AG7&amp;AH7&amp;AI7&amp;AJ7&lt;&gt;"",", ","")&amp;VLOOKUP(MacroLega!O5,MacroLega!$B$2:$C$65,2),"")</f>
      </c>
      <c r="AL7" s="180">
        <f>IF(MacroLega!P5&gt;1,IF(AG7&amp;AH7&amp;AI7&amp;AJ7&amp;AK7&lt;&gt;"",", ","")&amp;VLOOKUP(MacroLega!P5,MacroLega!$B$2:$C$65,2),"")</f>
      </c>
      <c r="AO7" s="269" t="e">
        <f>Macro!J5</f>
        <v>#N/A</v>
      </c>
      <c r="AP7" s="269" t="e">
        <f>Macro!K5</f>
        <v>#N/A</v>
      </c>
      <c r="AQ7" s="269" t="e">
        <f>Macro!L5</f>
        <v>#N/A</v>
      </c>
      <c r="AR7" s="269" t="e">
        <f>Macro!M5</f>
        <v>#N/A</v>
      </c>
    </row>
    <row r="8" spans="2:44" ht="18" customHeight="1">
      <c r="B8" s="20"/>
      <c r="C8" s="86">
        <v>4</v>
      </c>
      <c r="D8" s="74"/>
      <c r="E8" s="8">
        <f>IF(Macro!I6&lt;=1,"",VLOOKUP(Macro!I6,Macro!AH:AI,2,FALSE))</f>
      </c>
      <c r="F8" s="13">
        <f>IF(E8&lt;&gt;"",VLOOKUP(E8,Macro!$Q:$Z,2,FALSE)+R8+MacroLega!F6,"")</f>
      </c>
      <c r="G8" s="13">
        <f>IF(E8&lt;&gt;"",VLOOKUP(E8,Macro!$Q:$Z,3,FALSE)+S8+MacroLega!G6,"")</f>
      </c>
      <c r="H8" s="13">
        <f>IF(E8&lt;&gt;"",VLOOKUP(E8,Macro!$Q:$Z,4,FALSE)+T8+MacroLega!H6,"")</f>
      </c>
      <c r="I8" s="13">
        <f>IF(E8&lt;&gt;"",VLOOKUP(E8,Macro!$Q:$Z,5,FALSE)+U8+MacroLega!I6,"")</f>
      </c>
      <c r="J8" s="9">
        <f>IF(E8="","",IF(COUNTIF(E5:E20,E8)&gt;VLOOKUP(E8,Macro!Q:Z,10,FALSE),"ERRORE! TROPPI GIOCATORI IN QUESTO RUOLO!",VLOOKUP(E8,Macro!Q:Z,6,FALSE)))</f>
      </c>
      <c r="K8" s="266">
        <f>IF(MacroLega!N40=0,IF(MacroLega!P40&gt;0,"ERRORE!",AG8&amp;AH8&amp;AI8&amp;AJ8&amp;AK8&amp;AL8),AG8&amp;AH8&amp;AI8&amp;AJ8&amp;AK8&amp;AL8)</f>
      </c>
      <c r="L8" s="68"/>
      <c r="M8" s="68"/>
      <c r="N8" s="11">
        <f t="shared" si="0"/>
      </c>
      <c r="O8" s="11">
        <f>(IF(E8&lt;&gt;"",VLOOKUP(E8,Macro!Q:Z,8,FALSE),""))</f>
      </c>
      <c r="P8" s="11">
        <f>(IF(E8&lt;&gt;"",VLOOKUP(E8,Macro!Q:Z,9,FALSE),""))</f>
      </c>
      <c r="Q8" s="267">
        <f>IF(AB8&lt;&gt;"Star",(IF(ISNUMBER(FIND(MacroLega!R40,O8)),20,0)+IF(ISNUMBER(FIND(MacroLega!S40,O8)),20,0)+IF(ISNUMBER(FIND(MacroLega!T40,O8)),20,0)+IF(ISNUMBER(FIND(MacroLega!U40,O8)),20,0)+IF(ISNUMBER(FIND(MacroLega!V40,O8)),20,0)+IF(ISNUMBER(FIND(MacroLega!W40,O8)),20,0)+IF(ISNUMBER(FIND(MacroLega!R40,P8)),30,0)+IF(ISNUMBER(FIND(MacroLega!S40,P8)),30,0)+IF(ISNUMBER(FIND(MacroLega!T40,P8)),30,0)+IF(ISNUMBER(FIND(MacroLega!U40,P8)),30,0)+IF(ISNUMBER(FIND(MacroLega!V40,P8)),30,0)+IF(ISNUMBER(FIND(MacroLega!W40,P8)),30,0)+SUM(MacroLega!R40:MacroLega!W40)),0)+IF(ISNUMBER(FIND("Horns Luccini",AG8)),20,0)+IF(ISNUMBER(FIND("Horns Luccini",AH8)),20,0)+IF(ISNUMBER(FIND("Horns Luccini",AI8)),20,0)+IF(ISNUMBER(FIND("Horns Luccini",AJ8)),20,0)+IF(ISNUMBER(FIND("Horns Luccini",AK8)),20,0)+IF(ISNUMBER(FIND("Horns Luccini",AL8)),20,0)</f>
        <v>0</v>
      </c>
      <c r="R8" s="268"/>
      <c r="S8" s="268"/>
      <c r="T8" s="268"/>
      <c r="U8" s="268"/>
      <c r="V8" s="71"/>
      <c r="W8" s="71"/>
      <c r="X8" s="71"/>
      <c r="Y8" s="71"/>
      <c r="Z8" s="71"/>
      <c r="AA8" s="71"/>
      <c r="AB8" s="46">
        <f t="shared" si="1"/>
        <v>0</v>
      </c>
      <c r="AC8" s="76">
        <f>IF(L8&lt;&gt;"",(IF(L8="M",Macro!N6)),(""))</f>
      </c>
      <c r="AD8" s="77">
        <f>IF(L8&lt;&gt;"",(IF(L8="M","")),(Macro!N6))</f>
        <v>0</v>
      </c>
      <c r="AE8" s="28"/>
      <c r="AF8" s="1"/>
      <c r="AG8" s="178">
        <f>IF(MacroLega!K6&gt;1,VLOOKUP(MacroLega!K6,MacroLega!$B$2:$C$67,2),"")</f>
      </c>
      <c r="AH8" s="179">
        <f>IF(MacroLega!L6&gt;1,IF(AG8&lt;&gt;"",", ","")&amp;VLOOKUP(MacroLega!L6,MacroLega!$B$2:$C$67,2),"")</f>
      </c>
      <c r="AI8" s="179">
        <f>IF(MacroLega!M6&gt;1,IF(AG8&amp;AH8&lt;&gt;"",", ","")&amp;VLOOKUP(MacroLega!M6,MacroLega!$B$2:$C$67,2),"")</f>
      </c>
      <c r="AJ8" s="179">
        <f>IF(MacroLega!N6&gt;1,IF(AG8&amp;AH8&amp;AI8&lt;&gt;"",", ","")&amp;VLOOKUP(MacroLega!N6,MacroLega!$B$2:$C$65,2),"")</f>
      </c>
      <c r="AK8" s="179">
        <f>IF(MacroLega!O6&gt;1,IF(AG8&amp;AH8&amp;AI8&amp;AJ8&lt;&gt;"",", ","")&amp;VLOOKUP(MacroLega!O6,MacroLega!$B$2:$C$65,2),"")</f>
      </c>
      <c r="AL8" s="180">
        <f>IF(MacroLega!P6&gt;1,IF(AG8&amp;AH8&amp;AI8&amp;AJ8&amp;AK8&lt;&gt;"",", ","")&amp;VLOOKUP(MacroLega!P6,MacroLega!$B$2:$C$65,2),"")</f>
      </c>
      <c r="AO8" s="269" t="e">
        <f>Macro!J6</f>
        <v>#N/A</v>
      </c>
      <c r="AP8" s="269" t="e">
        <f>Macro!K6</f>
        <v>#N/A</v>
      </c>
      <c r="AQ8" s="269" t="e">
        <f>Macro!L6</f>
        <v>#N/A</v>
      </c>
      <c r="AR8" s="269" t="e">
        <f>Macro!M6</f>
        <v>#N/A</v>
      </c>
    </row>
    <row r="9" spans="2:44" ht="18" customHeight="1">
      <c r="B9" s="20"/>
      <c r="C9" s="86">
        <v>5</v>
      </c>
      <c r="D9" s="74"/>
      <c r="E9" s="8">
        <f>IF(Macro!I7&lt;=1,"",VLOOKUP(Macro!I7,Macro!AH:AI,2,FALSE))</f>
      </c>
      <c r="F9" s="13">
        <f>IF(E9&lt;&gt;"",VLOOKUP(E9,Macro!$Q:$Z,2,FALSE)+R9+MacroLega!F7,"")</f>
      </c>
      <c r="G9" s="13">
        <f>IF(E9&lt;&gt;"",VLOOKUP(E9,Macro!$Q:$Z,3,FALSE)+S9+MacroLega!G7,"")</f>
      </c>
      <c r="H9" s="13">
        <f>IF(E9&lt;&gt;"",VLOOKUP(E9,Macro!$Q:$Z,4,FALSE)+T9+MacroLega!H7,"")</f>
      </c>
      <c r="I9" s="13">
        <f>IF(E9&lt;&gt;"",VLOOKUP(E9,Macro!$Q:$Z,5,FALSE)+U9+MacroLega!I7,"")</f>
      </c>
      <c r="J9" s="9">
        <f>IF(E9="","",IF(COUNTIF(E5:E20,E9)&gt;VLOOKUP(E9,Macro!Q:Z,10,FALSE),"ERRORE! TROPPI GIOCATORI IN QUESTO RUOLO!",VLOOKUP(E9,Macro!Q:Z,6,FALSE)))</f>
      </c>
      <c r="K9" s="266">
        <f>IF(MacroLega!N41=0,IF(MacroLega!P41&gt;0,"ERRORE!",AG9&amp;AH9&amp;AI9&amp;AJ9&amp;AK9&amp;AL9),AG9&amp;AH9&amp;AI9&amp;AJ9&amp;AK9&amp;AL9)</f>
      </c>
      <c r="L9" s="68"/>
      <c r="M9" s="68"/>
      <c r="N9" s="11">
        <f t="shared" si="0"/>
      </c>
      <c r="O9" s="11">
        <f>(IF(E9&lt;&gt;"",VLOOKUP(E9,Macro!Q:Z,8,FALSE),""))</f>
      </c>
      <c r="P9" s="11">
        <f>(IF(E9&lt;&gt;"",VLOOKUP(E9,Macro!Q:Z,9,FALSE),""))</f>
      </c>
      <c r="Q9" s="267">
        <f>IF(AB9&lt;&gt;"Star",(IF(ISNUMBER(FIND(MacroLega!R41,O9)),20,0)+IF(ISNUMBER(FIND(MacroLega!S41,O9)),20,0)+IF(ISNUMBER(FIND(MacroLega!T41,O9)),20,0)+IF(ISNUMBER(FIND(MacroLega!U41,O9)),20,0)+IF(ISNUMBER(FIND(MacroLega!V41,O9)),20,0)+IF(ISNUMBER(FIND(MacroLega!W41,O9)),20,0)+IF(ISNUMBER(FIND(MacroLega!R41,P9)),30,0)+IF(ISNUMBER(FIND(MacroLega!S41,P9)),30,0)+IF(ISNUMBER(FIND(MacroLega!T41,P9)),30,0)+IF(ISNUMBER(FIND(MacroLega!U41,P9)),30,0)+IF(ISNUMBER(FIND(MacroLega!V41,P9)),30,0)+IF(ISNUMBER(FIND(MacroLega!W41,P9)),30,0)+SUM(MacroLega!R41:MacroLega!W41)),0)+IF(ISNUMBER(FIND("Horns Luccini",AG9)),20,0)+IF(ISNUMBER(FIND("Horns Luccini",AH9)),20,0)+IF(ISNUMBER(FIND("Horns Luccini",AI9)),20,0)+IF(ISNUMBER(FIND("Horns Luccini",AJ9)),20,0)+IF(ISNUMBER(FIND("Horns Luccini",AK9)),20,0)+IF(ISNUMBER(FIND("Horns Luccini",AL9)),20,0)</f>
        <v>0</v>
      </c>
      <c r="R9" s="268"/>
      <c r="S9" s="268"/>
      <c r="T9" s="268"/>
      <c r="U9" s="268"/>
      <c r="V9" s="71"/>
      <c r="W9" s="71"/>
      <c r="X9" s="71"/>
      <c r="Y9" s="71"/>
      <c r="Z9" s="71"/>
      <c r="AA9" s="71"/>
      <c r="AB9" s="46">
        <f t="shared" si="1"/>
        <v>0</v>
      </c>
      <c r="AC9" s="76">
        <f>IF(L9&lt;&gt;"",(IF(L9="M",Macro!N7)),(""))</f>
      </c>
      <c r="AD9" s="77">
        <f>IF(L9&lt;&gt;"",(IF(L9="M","")),(Macro!N7))</f>
        <v>0</v>
      </c>
      <c r="AE9" s="28"/>
      <c r="AF9" s="1"/>
      <c r="AG9" s="178">
        <f>IF(MacroLega!K7&gt;1,VLOOKUP(MacroLega!K7,MacroLega!$B$2:$C$67,2),"")</f>
      </c>
      <c r="AH9" s="179">
        <f>IF(MacroLega!L7&gt;1,IF(AG9&lt;&gt;"",", ","")&amp;VLOOKUP(MacroLega!L7,MacroLega!$B$2:$C$67,2),"")</f>
      </c>
      <c r="AI9" s="179">
        <f>IF(MacroLega!M7&gt;1,IF(AG9&amp;AH9&lt;&gt;"",", ","")&amp;VLOOKUP(MacroLega!M7,MacroLega!$B$2:$C$67,2),"")</f>
      </c>
      <c r="AJ9" s="179">
        <f>IF(MacroLega!N7&gt;1,IF(AG9&amp;AH9&amp;AI9&lt;&gt;"",", ","")&amp;VLOOKUP(MacroLega!N7,MacroLega!$B$2:$C$65,2),"")</f>
      </c>
      <c r="AK9" s="179">
        <f>IF(MacroLega!O7&gt;1,IF(AG9&amp;AH9&amp;AI9&amp;AJ9&lt;&gt;"",", ","")&amp;VLOOKUP(MacroLega!O7,MacroLega!$B$2:$C$65,2),"")</f>
      </c>
      <c r="AL9" s="180">
        <f>IF(MacroLega!P7&gt;1,IF(AG9&amp;AH9&amp;AI9&amp;AJ9&amp;AK9&lt;&gt;"",", ","")&amp;VLOOKUP(MacroLega!P7,MacroLega!$B$2:$C$65,2),"")</f>
      </c>
      <c r="AO9" s="269" t="e">
        <f>Macro!J7</f>
        <v>#N/A</v>
      </c>
      <c r="AP9" s="269" t="e">
        <f>Macro!K7</f>
        <v>#N/A</v>
      </c>
      <c r="AQ9" s="269" t="e">
        <f>Macro!L7</f>
        <v>#N/A</v>
      </c>
      <c r="AR9" s="269" t="e">
        <f>Macro!M7</f>
        <v>#N/A</v>
      </c>
    </row>
    <row r="10" spans="2:44" ht="18" customHeight="1">
      <c r="B10" s="20"/>
      <c r="C10" s="86">
        <v>6</v>
      </c>
      <c r="D10" s="74"/>
      <c r="E10" s="8">
        <f>IF(Macro!I8&lt;=1,"",VLOOKUP(Macro!I8,Macro!AH:AI,2,FALSE))</f>
      </c>
      <c r="F10" s="13">
        <f>IF(E10&lt;&gt;"",VLOOKUP(E10,Macro!$Q:$Z,2,FALSE)+R10+MacroLega!F8,"")</f>
      </c>
      <c r="G10" s="13">
        <f>IF(E10&lt;&gt;"",VLOOKUP(E10,Macro!$Q:$Z,3,FALSE)+S10+MacroLega!G8,"")</f>
      </c>
      <c r="H10" s="13">
        <f>IF(E10&lt;&gt;"",VLOOKUP(E10,Macro!$Q:$Z,4,FALSE)+T10+MacroLega!H8,"")</f>
      </c>
      <c r="I10" s="13">
        <f>IF(E10&lt;&gt;"",VLOOKUP(E10,Macro!$Q:$Z,5,FALSE)+U10+MacroLega!I8,"")</f>
      </c>
      <c r="J10" s="9">
        <f>IF(E10="","",IF(COUNTIF(E5:E20,E10)&gt;VLOOKUP(E10,Macro!Q:Z,10,FALSE),"ERRORE! TROPPI GIOCATORI IN QUESTO RUOLO!",VLOOKUP(E10,Macro!Q:Z,6,FALSE)))</f>
      </c>
      <c r="K10" s="266">
        <f>IF(MacroLega!N42=0,IF(MacroLega!P42&gt;0,"ERRORE!",AG10&amp;AH10&amp;AI10&amp;AJ10&amp;AK10&amp;AL10),AG10&amp;AH10&amp;AI10&amp;AJ10&amp;AK10&amp;AL10)</f>
      </c>
      <c r="L10" s="68"/>
      <c r="M10" s="68"/>
      <c r="N10" s="11">
        <f t="shared" si="0"/>
      </c>
      <c r="O10" s="11">
        <f>(IF(E10&lt;&gt;"",VLOOKUP(E10,Macro!Q:Z,8,FALSE),""))</f>
      </c>
      <c r="P10" s="11">
        <f>(IF(E10&lt;&gt;"",VLOOKUP(E10,Macro!Q:Z,9,FALSE),""))</f>
      </c>
      <c r="Q10" s="267">
        <f>IF(AB10&lt;&gt;"Star",(IF(ISNUMBER(FIND(MacroLega!R42,O10)),20,0)+IF(ISNUMBER(FIND(MacroLega!S42,O10)),20,0)+IF(ISNUMBER(FIND(MacroLega!T42,O10)),20,0)+IF(ISNUMBER(FIND(MacroLega!U42,O10)),20,0)+IF(ISNUMBER(FIND(MacroLega!V42,O10)),20,0)+IF(ISNUMBER(FIND(MacroLega!W42,O10)),20,0)+IF(ISNUMBER(FIND(MacroLega!R42,P10)),30,0)+IF(ISNUMBER(FIND(MacroLega!S42,P10)),30,0)+IF(ISNUMBER(FIND(MacroLega!T42,P10)),30,0)+IF(ISNUMBER(FIND(MacroLega!U42,P10)),30,0)+IF(ISNUMBER(FIND(MacroLega!V42,P10)),30,0)+IF(ISNUMBER(FIND(MacroLega!W42,P10)),30,0)+SUM(MacroLega!R42:MacroLega!W42)),0)+IF(ISNUMBER(FIND("Horns Luccini",AG10)),20,0)+IF(ISNUMBER(FIND("Horns Luccini",AH10)),20,0)+IF(ISNUMBER(FIND("Horns Luccini",AI10)),20,0)+IF(ISNUMBER(FIND("Horns Luccini",AJ10)),20,0)+IF(ISNUMBER(FIND("Horns Luccini",AK10)),20,0)+IF(ISNUMBER(FIND("Horns Luccini",AL10)),20,0)</f>
        <v>0</v>
      </c>
      <c r="R10" s="268"/>
      <c r="S10" s="268"/>
      <c r="T10" s="268"/>
      <c r="U10" s="268"/>
      <c r="V10" s="71"/>
      <c r="W10" s="71"/>
      <c r="X10" s="71"/>
      <c r="Y10" s="71"/>
      <c r="Z10" s="71"/>
      <c r="AA10" s="71"/>
      <c r="AB10" s="46">
        <f t="shared" si="1"/>
        <v>0</v>
      </c>
      <c r="AC10" s="76">
        <f>IF(L10&lt;&gt;"",(IF(L10="M",Macro!N8)),(""))</f>
      </c>
      <c r="AD10" s="77">
        <f>IF(L10&lt;&gt;"",(IF(L10="M","")),(Macro!N8))</f>
        <v>0</v>
      </c>
      <c r="AE10" s="28"/>
      <c r="AF10" s="1"/>
      <c r="AG10" s="178">
        <f>IF(MacroLega!K8&gt;1,VLOOKUP(MacroLega!K8,MacroLega!$B$2:$C$67,2),"")</f>
      </c>
      <c r="AH10" s="179">
        <f>IF(MacroLega!L8&gt;1,IF(AG10&lt;&gt;"",", ","")&amp;VLOOKUP(MacroLega!L8,MacroLega!$B$2:$C$67,2),"")</f>
      </c>
      <c r="AI10" s="179">
        <f>IF(MacroLega!M8&gt;1,IF(AG10&amp;AH10&lt;&gt;"",", ","")&amp;VLOOKUP(MacroLega!M8,MacroLega!$B$2:$C$67,2),"")</f>
      </c>
      <c r="AJ10" s="179">
        <f>IF(MacroLega!N8&gt;1,IF(AG10&amp;AH10&amp;AI10&lt;&gt;"",", ","")&amp;VLOOKUP(MacroLega!N8,MacroLega!$B$2:$C$65,2),"")</f>
      </c>
      <c r="AK10" s="179">
        <f>IF(MacroLega!O8&gt;1,IF(AG10&amp;AH10&amp;AI10&amp;AJ10&lt;&gt;"",", ","")&amp;VLOOKUP(MacroLega!O8,MacroLega!$B$2:$C$65,2),"")</f>
      </c>
      <c r="AL10" s="180">
        <f>IF(MacroLega!P8&gt;1,IF(AG10&amp;AH10&amp;AI10&amp;AJ10&amp;AK10&lt;&gt;"",", ","")&amp;VLOOKUP(MacroLega!P8,MacroLega!$B$2:$C$65,2),"")</f>
      </c>
      <c r="AO10" s="269" t="e">
        <f>Macro!J8</f>
        <v>#N/A</v>
      </c>
      <c r="AP10" s="269" t="e">
        <f>Macro!K8</f>
        <v>#N/A</v>
      </c>
      <c r="AQ10" s="269" t="e">
        <f>Macro!L8</f>
        <v>#N/A</v>
      </c>
      <c r="AR10" s="269" t="e">
        <f>Macro!M8</f>
        <v>#N/A</v>
      </c>
    </row>
    <row r="11" spans="2:44" ht="18" customHeight="1">
      <c r="B11" s="20"/>
      <c r="C11" s="86">
        <v>7</v>
      </c>
      <c r="D11" s="74"/>
      <c r="E11" s="8">
        <f>IF(Macro!I9&lt;=1,"",VLOOKUP(Macro!I9,Macro!AH:AI,2,FALSE))</f>
      </c>
      <c r="F11" s="13">
        <f>IF(E11&lt;&gt;"",VLOOKUP(E11,Macro!$Q:$Z,2,FALSE)+R11+MacroLega!F9,"")</f>
      </c>
      <c r="G11" s="13">
        <f>IF(E11&lt;&gt;"",VLOOKUP(E11,Macro!$Q:$Z,3,FALSE)+S11+MacroLega!G9,"")</f>
      </c>
      <c r="H11" s="13">
        <f>IF(E11&lt;&gt;"",VLOOKUP(E11,Macro!$Q:$Z,4,FALSE)+T11+MacroLega!H9,"")</f>
      </c>
      <c r="I11" s="13">
        <f>IF(E11&lt;&gt;"",VLOOKUP(E11,Macro!$Q:$Z,5,FALSE)+U11+MacroLega!I9,"")</f>
      </c>
      <c r="J11" s="9">
        <f>IF(E11="","",IF(COUNTIF(E5:E20,E11)&gt;VLOOKUP(E11,Macro!Q:Z,10,FALSE),"ERRORE! TROPPI GIOCATORI IN QUESTO RUOLO!",VLOOKUP(E11,Macro!Q:Z,6,FALSE)))</f>
      </c>
      <c r="K11" s="266">
        <f>IF(MacroLega!N43=0,IF(MacroLega!P43&gt;0,"ERRORE!",AG11&amp;AH11&amp;AI11&amp;AJ11&amp;AK11&amp;AL11),AG11&amp;AH11&amp;AI11&amp;AJ11&amp;AK11&amp;AL11)</f>
      </c>
      <c r="L11" s="68"/>
      <c r="M11" s="68"/>
      <c r="N11" s="11">
        <f t="shared" si="0"/>
      </c>
      <c r="O11" s="11">
        <f>(IF(E11&lt;&gt;"",VLOOKUP(E11,Macro!Q:Z,8,FALSE),""))</f>
      </c>
      <c r="P11" s="11">
        <f>(IF(E11&lt;&gt;"",VLOOKUP(E11,Macro!Q:Z,9,FALSE),""))</f>
      </c>
      <c r="Q11" s="267">
        <f>IF(AB11&lt;&gt;"Star",(IF(ISNUMBER(FIND(MacroLega!R43,O11)),20,0)+IF(ISNUMBER(FIND(MacroLega!S43,O11)),20,0)+IF(ISNUMBER(FIND(MacroLega!T43,O11)),20,0)+IF(ISNUMBER(FIND(MacroLega!U43,O11)),20,0)+IF(ISNUMBER(FIND(MacroLega!V43,O11)),20,0)+IF(ISNUMBER(FIND(MacroLega!W43,O11)),20,0)+IF(ISNUMBER(FIND(MacroLega!R43,P11)),30,0)+IF(ISNUMBER(FIND(MacroLega!S43,P11)),30,0)+IF(ISNUMBER(FIND(MacroLega!T43,P11)),30,0)+IF(ISNUMBER(FIND(MacroLega!U43,P11)),30,0)+IF(ISNUMBER(FIND(MacroLega!V43,P11)),30,0)+IF(ISNUMBER(FIND(MacroLega!W43,P11)),30,0)+SUM(MacroLega!R43:MacroLega!W43)),0)+IF(ISNUMBER(FIND("Horns Luccini",AG11)),20,0)+IF(ISNUMBER(FIND("Horns Luccini",AH11)),20,0)+IF(ISNUMBER(FIND("Horns Luccini",AI11)),20,0)+IF(ISNUMBER(FIND("Horns Luccini",AJ11)),20,0)+IF(ISNUMBER(FIND("Horns Luccini",AK11)),20,0)+IF(ISNUMBER(FIND("Horns Luccini",AL11)),20,0)</f>
        <v>0</v>
      </c>
      <c r="R11" s="268"/>
      <c r="S11" s="268"/>
      <c r="T11" s="268"/>
      <c r="U11" s="268"/>
      <c r="V11" s="71"/>
      <c r="W11" s="71"/>
      <c r="X11" s="71"/>
      <c r="Y11" s="71"/>
      <c r="Z11" s="71"/>
      <c r="AA11" s="71"/>
      <c r="AB11" s="46">
        <f t="shared" si="1"/>
        <v>0</v>
      </c>
      <c r="AC11" s="76">
        <f>IF(L11&lt;&gt;"",(IF(L11="M",Macro!N9)),(""))</f>
      </c>
      <c r="AD11" s="77">
        <f>IF(L11&lt;&gt;"",(IF(L11="M","")),(Macro!N9))</f>
        <v>0</v>
      </c>
      <c r="AE11" s="28"/>
      <c r="AF11" s="1"/>
      <c r="AG11" s="178">
        <f>IF(MacroLega!K9&gt;1,VLOOKUP(MacroLega!K9,MacroLega!$B$2:$C$67,2),"")</f>
      </c>
      <c r="AH11" s="179">
        <f>IF(MacroLega!L9&gt;1,IF(AG11&lt;&gt;"",", ","")&amp;VLOOKUP(MacroLega!L9,MacroLega!$B$2:$C$67,2),"")</f>
      </c>
      <c r="AI11" s="179">
        <f>IF(MacroLega!M9&gt;1,IF(AG11&amp;AH11&lt;&gt;"",", ","")&amp;VLOOKUP(MacroLega!M9,MacroLega!$B$2:$C$67,2),"")</f>
      </c>
      <c r="AJ11" s="179">
        <f>IF(MacroLega!N9&gt;1,IF(AG11&amp;AH11&amp;AI11&lt;&gt;"",", ","")&amp;VLOOKUP(MacroLega!N9,MacroLega!$B$2:$C$65,2),"")</f>
      </c>
      <c r="AK11" s="179">
        <f>IF(MacroLega!O9&gt;1,IF(AG11&amp;AH11&amp;AI11&amp;AJ11&lt;&gt;"",", ","")&amp;VLOOKUP(MacroLega!O9,MacroLega!$B$2:$C$65,2),"")</f>
      </c>
      <c r="AL11" s="180">
        <f>IF(MacroLega!P9&gt;1,IF(AG11&amp;AH11&amp;AI11&amp;AJ11&amp;AK11&lt;&gt;"",", ","")&amp;VLOOKUP(MacroLega!P9,MacroLega!$B$2:$C$65,2),"")</f>
      </c>
      <c r="AO11" s="269" t="e">
        <f>Macro!J9</f>
        <v>#N/A</v>
      </c>
      <c r="AP11" s="269" t="e">
        <f>Macro!K9</f>
        <v>#N/A</v>
      </c>
      <c r="AQ11" s="269" t="e">
        <f>Macro!L9</f>
        <v>#N/A</v>
      </c>
      <c r="AR11" s="269" t="e">
        <f>Macro!M9</f>
        <v>#N/A</v>
      </c>
    </row>
    <row r="12" spans="2:44" ht="18" customHeight="1">
      <c r="B12" s="20"/>
      <c r="C12" s="86">
        <v>8</v>
      </c>
      <c r="D12" s="74"/>
      <c r="E12" s="8">
        <f>IF(Macro!I10&lt;=1,"",VLOOKUP(Macro!I10,Macro!AH:AI,2,FALSE))</f>
      </c>
      <c r="F12" s="13">
        <f>IF(E12&lt;&gt;"",VLOOKUP(E12,Macro!$Q:$Z,2,FALSE)+R12+MacroLega!F10,"")</f>
      </c>
      <c r="G12" s="13">
        <f>IF(E12&lt;&gt;"",VLOOKUP(E12,Macro!$Q:$Z,3,FALSE)+S12+MacroLega!G10,"")</f>
      </c>
      <c r="H12" s="13">
        <f>IF(E12&lt;&gt;"",VLOOKUP(E12,Macro!$Q:$Z,4,FALSE)+T12+MacroLega!H10,"")</f>
      </c>
      <c r="I12" s="13">
        <f>IF(E12&lt;&gt;"",VLOOKUP(E12,Macro!$Q:$Z,5,FALSE)+U12+MacroLega!I10,"")</f>
      </c>
      <c r="J12" s="9">
        <f>IF(E12="","",IF(COUNTIF(E5:E20,E12)&gt;VLOOKUP(E12,Macro!Q:Z,10,FALSE),"ERRORE! TROPPI GIOCATORI IN QUESTO RUOLO!",VLOOKUP(E12,Macro!Q:Z,6,FALSE)))</f>
      </c>
      <c r="K12" s="266">
        <f>IF(MacroLega!N44=0,IF(MacroLega!P44&gt;0,"ERRORE!",AG12&amp;AH12&amp;AI12&amp;AJ12&amp;AK12&amp;AL12),AG12&amp;AH12&amp;AI12&amp;AJ12&amp;AK12&amp;AL12)</f>
      </c>
      <c r="L12" s="68"/>
      <c r="M12" s="68"/>
      <c r="N12" s="11">
        <f t="shared" si="0"/>
      </c>
      <c r="O12" s="11">
        <f>(IF(E12&lt;&gt;"",VLOOKUP(E12,Macro!Q:Z,8,FALSE),""))</f>
      </c>
      <c r="P12" s="11">
        <f>(IF(E12&lt;&gt;"",VLOOKUP(E12,Macro!Q:Z,9,FALSE),""))</f>
      </c>
      <c r="Q12" s="267">
        <f>IF(AB12&lt;&gt;"Star",(IF(ISNUMBER(FIND(MacroLega!R44,O12)),20,0)+IF(ISNUMBER(FIND(MacroLega!S44,O12)),20,0)+IF(ISNUMBER(FIND(MacroLega!T44,O12)),20,0)+IF(ISNUMBER(FIND(MacroLega!U44,O12)),20,0)+IF(ISNUMBER(FIND(MacroLega!V44,O12)),20,0)+IF(ISNUMBER(FIND(MacroLega!W44,O12)),20,0)+IF(ISNUMBER(FIND(MacroLega!R44,P12)),30,0)+IF(ISNUMBER(FIND(MacroLega!S44,P12)),30,0)+IF(ISNUMBER(FIND(MacroLega!T44,P12)),30,0)+IF(ISNUMBER(FIND(MacroLega!U44,P12)),30,0)+IF(ISNUMBER(FIND(MacroLega!V44,P12)),30,0)+IF(ISNUMBER(FIND(MacroLega!W44,P12)),30,0)+SUM(MacroLega!R44:MacroLega!W44)),0)+IF(ISNUMBER(FIND("Horns Luccini",AG12)),20,0)+IF(ISNUMBER(FIND("Horns Luccini",AH12)),20,0)+IF(ISNUMBER(FIND("Horns Luccini",AI12)),20,0)+IF(ISNUMBER(FIND("Horns Luccini",AJ12)),20,0)+IF(ISNUMBER(FIND("Horns Luccini",AK12)),20,0)+IF(ISNUMBER(FIND("Horns Luccini",AL12)),20,0)</f>
        <v>0</v>
      </c>
      <c r="R12" s="268"/>
      <c r="S12" s="268"/>
      <c r="T12" s="268"/>
      <c r="U12" s="268"/>
      <c r="V12" s="71"/>
      <c r="W12" s="71"/>
      <c r="X12" s="71"/>
      <c r="Y12" s="71"/>
      <c r="Z12" s="71"/>
      <c r="AA12" s="71"/>
      <c r="AB12" s="46">
        <f t="shared" si="1"/>
        <v>0</v>
      </c>
      <c r="AC12" s="76">
        <f>IF(L12&lt;&gt;"",(IF(L12="M",Macro!N10)),(""))</f>
      </c>
      <c r="AD12" s="77">
        <f>IF(L12&lt;&gt;"",(IF(L12="M","")),(Macro!N10))</f>
        <v>0</v>
      </c>
      <c r="AE12" s="28"/>
      <c r="AF12" s="1"/>
      <c r="AG12" s="178">
        <f>IF(MacroLega!K10&gt;1,VLOOKUP(MacroLega!K10,MacroLega!$B$2:$C$67,2),"")</f>
      </c>
      <c r="AH12" s="179">
        <f>IF(MacroLega!L10&gt;1,IF(AG12&lt;&gt;"",", ","")&amp;VLOOKUP(MacroLega!L10,MacroLega!$B$2:$C$67,2),"")</f>
      </c>
      <c r="AI12" s="179">
        <f>IF(MacroLega!M10&gt;1,IF(AG12&amp;AH12&lt;&gt;"",", ","")&amp;VLOOKUP(MacroLega!M10,MacroLega!$B$2:$C$67,2),"")</f>
      </c>
      <c r="AJ12" s="179">
        <f>IF(MacroLega!N10&gt;1,IF(AG12&amp;AH12&amp;AI12&lt;&gt;"",", ","")&amp;VLOOKUP(MacroLega!N10,MacroLega!$B$2:$C$65,2),"")</f>
      </c>
      <c r="AK12" s="179">
        <f>IF(MacroLega!O10&gt;1,IF(AG12&amp;AH12&amp;AI12&amp;AJ12&lt;&gt;"",", ","")&amp;VLOOKUP(MacroLega!O10,MacroLega!$B$2:$C$65,2),"")</f>
      </c>
      <c r="AL12" s="180">
        <f>IF(MacroLega!P10&gt;1,IF(AG12&amp;AH12&amp;AI12&amp;AJ12&amp;AK12&lt;&gt;"",", ","")&amp;VLOOKUP(MacroLega!P10,MacroLega!$B$2:$C$65,2),"")</f>
      </c>
      <c r="AO12" s="269" t="e">
        <f>Macro!J10</f>
        <v>#N/A</v>
      </c>
      <c r="AP12" s="269" t="e">
        <f>Macro!K10</f>
        <v>#N/A</v>
      </c>
      <c r="AQ12" s="269" t="e">
        <f>Macro!L10</f>
        <v>#N/A</v>
      </c>
      <c r="AR12" s="269" t="e">
        <f>Macro!M10</f>
        <v>#N/A</v>
      </c>
    </row>
    <row r="13" spans="2:44" ht="18" customHeight="1">
      <c r="B13" s="20"/>
      <c r="C13" s="86">
        <v>9</v>
      </c>
      <c r="D13" s="74"/>
      <c r="E13" s="8">
        <f>IF(Macro!I11&lt;=1,"",VLOOKUP(Macro!I11,Macro!AH:AI,2,FALSE))</f>
      </c>
      <c r="F13" s="13">
        <f>IF(E13&lt;&gt;"",VLOOKUP(E13,Macro!$Q:$Z,2,FALSE)+R13+MacroLega!F11,"")</f>
      </c>
      <c r="G13" s="13">
        <f>IF(E13&lt;&gt;"",VLOOKUP(E13,Macro!$Q:$Z,3,FALSE)+S13+MacroLega!G11,"")</f>
      </c>
      <c r="H13" s="13">
        <f>IF(E13&lt;&gt;"",VLOOKUP(E13,Macro!$Q:$Z,4,FALSE)+T13+MacroLega!H11,"")</f>
      </c>
      <c r="I13" s="13">
        <f>IF(E13&lt;&gt;"",VLOOKUP(E13,Macro!$Q:$Z,5,FALSE)+U13+MacroLega!I11,"")</f>
      </c>
      <c r="J13" s="9">
        <f>IF(E13="","",IF(COUNTIF(E5:E20,E13)&gt;VLOOKUP(E13,Macro!Q:Z,10,FALSE),"ERRORE! TROPPI GIOCATORI IN QUESTO RUOLO!",VLOOKUP(E13,Macro!Q:Z,6,FALSE)))</f>
      </c>
      <c r="K13" s="266">
        <f>IF(MacroLega!N45=0,IF(MacroLega!P45&gt;0,"ERRORE!",AG13&amp;AH13&amp;AI13&amp;AJ13&amp;AK13&amp;AL13),AG13&amp;AH13&amp;AI13&amp;AJ13&amp;AK13&amp;AL13)</f>
      </c>
      <c r="L13" s="68"/>
      <c r="M13" s="68"/>
      <c r="N13" s="11">
        <f t="shared" si="0"/>
      </c>
      <c r="O13" s="11">
        <f>(IF(E13&lt;&gt;"",VLOOKUP(E13,Macro!Q:Z,8,FALSE),""))</f>
      </c>
      <c r="P13" s="11">
        <f>(IF(E13&lt;&gt;"",VLOOKUP(E13,Macro!Q:Z,9,FALSE),""))</f>
      </c>
      <c r="Q13" s="267">
        <f>IF(AB13&lt;&gt;"Star",(IF(ISNUMBER(FIND(MacroLega!R45,O13)),20,0)+IF(ISNUMBER(FIND(MacroLega!S45,O13)),20,0)+IF(ISNUMBER(FIND(MacroLega!T45,O13)),20,0)+IF(ISNUMBER(FIND(MacroLega!U45,O13)),20,0)+IF(ISNUMBER(FIND(MacroLega!V45,O13)),20,0)+IF(ISNUMBER(FIND(MacroLega!W45,O13)),20,0)+IF(ISNUMBER(FIND(MacroLega!R45,P13)),30,0)+IF(ISNUMBER(FIND(MacroLega!S45,P13)),30,0)+IF(ISNUMBER(FIND(MacroLega!T45,P13)),30,0)+IF(ISNUMBER(FIND(MacroLega!U45,P13)),30,0)+IF(ISNUMBER(FIND(MacroLega!V45,P13)),30,0)+IF(ISNUMBER(FIND(MacroLega!W45,P13)),30,0)+SUM(MacroLega!R45:MacroLega!W45)),0)+IF(ISNUMBER(FIND("Horns Luccini",AG13)),20,0)+IF(ISNUMBER(FIND("Horns Luccini",AH13)),20,0)+IF(ISNUMBER(FIND("Horns Luccini",AI13)),20,0)+IF(ISNUMBER(FIND("Horns Luccini",AJ13)),20,0)+IF(ISNUMBER(FIND("Horns Luccini",AK13)),20,0)+IF(ISNUMBER(FIND("Horns Luccini",AL13)),20,0)</f>
        <v>0</v>
      </c>
      <c r="R13" s="268"/>
      <c r="S13" s="268"/>
      <c r="T13" s="268"/>
      <c r="U13" s="268"/>
      <c r="V13" s="71"/>
      <c r="W13" s="71"/>
      <c r="X13" s="71"/>
      <c r="Y13" s="71"/>
      <c r="Z13" s="71"/>
      <c r="AA13" s="71"/>
      <c r="AB13" s="46">
        <f t="shared" si="1"/>
        <v>0</v>
      </c>
      <c r="AC13" s="76">
        <f>IF(L13&lt;&gt;"",(IF(L13="M",Macro!N11)),(""))</f>
      </c>
      <c r="AD13" s="77">
        <f>IF(L13&lt;&gt;"",(IF(L13="M","")),(Macro!N11))</f>
        <v>0</v>
      </c>
      <c r="AE13" s="28"/>
      <c r="AF13" s="1"/>
      <c r="AG13" s="178">
        <f>IF(MacroLega!K11&gt;1,VLOOKUP(MacroLega!K11,MacroLega!$B$2:$C$67,2),"")</f>
      </c>
      <c r="AH13" s="179">
        <f>IF(MacroLega!L11&gt;1,IF(AG13&lt;&gt;"",", ","")&amp;VLOOKUP(MacroLega!L11,MacroLega!$B$2:$C$67,2),"")</f>
      </c>
      <c r="AI13" s="179">
        <f>IF(MacroLega!M11&gt;1,IF(AG13&amp;AH13&lt;&gt;"",", ","")&amp;VLOOKUP(MacroLega!M11,MacroLega!$B$2:$C$67,2),"")</f>
      </c>
      <c r="AJ13" s="179">
        <f>IF(MacroLega!N11&gt;1,IF(AG13&amp;AH13&amp;AI13&lt;&gt;"",", ","")&amp;VLOOKUP(MacroLega!N11,MacroLega!$B$2:$C$65,2),"")</f>
      </c>
      <c r="AK13" s="179">
        <f>IF(MacroLega!O11&gt;1,IF(AG13&amp;AH13&amp;AI13&amp;AJ13&lt;&gt;"",", ","")&amp;VLOOKUP(MacroLega!O11,MacroLega!$B$2:$C$65,2),"")</f>
      </c>
      <c r="AL13" s="180">
        <f>IF(MacroLega!P11&gt;1,IF(AG13&amp;AH13&amp;AI13&amp;AJ13&amp;AK13&lt;&gt;"",", ","")&amp;VLOOKUP(MacroLega!P11,MacroLega!$B$2:$C$65,2),"")</f>
      </c>
      <c r="AO13" s="269" t="e">
        <f>Macro!J11</f>
        <v>#N/A</v>
      </c>
      <c r="AP13" s="269" t="e">
        <f>Macro!K11</f>
        <v>#N/A</v>
      </c>
      <c r="AQ13" s="269" t="e">
        <f>Macro!L11</f>
        <v>#N/A</v>
      </c>
      <c r="AR13" s="269" t="e">
        <f>Macro!M11</f>
        <v>#N/A</v>
      </c>
    </row>
    <row r="14" spans="2:44" ht="18" customHeight="1">
      <c r="B14" s="20"/>
      <c r="C14" s="86">
        <v>10</v>
      </c>
      <c r="D14" s="74"/>
      <c r="E14" s="8">
        <f>IF(Macro!I12&lt;=1,"",VLOOKUP(Macro!I12,Macro!AH:AI,2,FALSE))</f>
      </c>
      <c r="F14" s="13">
        <f>IF(E14&lt;&gt;"",VLOOKUP(E14,Macro!$Q:$Z,2,FALSE)+R14+MacroLega!F12,"")</f>
      </c>
      <c r="G14" s="13">
        <f>IF(E14&lt;&gt;"",VLOOKUP(E14,Macro!$Q:$Z,3,FALSE)+S14+MacroLega!G12,"")</f>
      </c>
      <c r="H14" s="13">
        <f>IF(E14&lt;&gt;"",VLOOKUP(E14,Macro!$Q:$Z,4,FALSE)+T14+MacroLega!H12,"")</f>
      </c>
      <c r="I14" s="13">
        <f>IF(E14&lt;&gt;"",VLOOKUP(E14,Macro!$Q:$Z,5,FALSE)+U14+MacroLega!I12,"")</f>
      </c>
      <c r="J14" s="9">
        <f>IF(E14="","",IF(COUNTIF(E5:E20,E14)&gt;VLOOKUP(E14,Macro!Q:Z,10,FALSE),"ERRORE! TROPPI GIOCATORI IN QUESTO RUOLO!",VLOOKUP(E14,Macro!Q:Z,6,FALSE)))</f>
      </c>
      <c r="K14" s="266">
        <f>IF(MacroLega!N46=0,IF(MacroLega!P46&gt;0,"ERRORE!",AG14&amp;AH14&amp;AI14&amp;AJ14&amp;AK14&amp;AL14),AG14&amp;AH14&amp;AI14&amp;AJ14&amp;AK14&amp;AL14)</f>
      </c>
      <c r="L14" s="68"/>
      <c r="M14" s="68"/>
      <c r="N14" s="11">
        <f t="shared" si="0"/>
      </c>
      <c r="O14" s="11">
        <f>(IF(E14&lt;&gt;"",VLOOKUP(E14,Macro!Q:Z,8,FALSE),""))</f>
      </c>
      <c r="P14" s="11">
        <f>(IF(E14&lt;&gt;"",VLOOKUP(E14,Macro!Q:Z,9,FALSE),""))</f>
      </c>
      <c r="Q14" s="267">
        <f>IF(AB14&lt;&gt;"Star",(IF(ISNUMBER(FIND(MacroLega!R46,O14)),20,0)+IF(ISNUMBER(FIND(MacroLega!S46,O14)),20,0)+IF(ISNUMBER(FIND(MacroLega!T46,O14)),20,0)+IF(ISNUMBER(FIND(MacroLega!U46,O14)),20,0)+IF(ISNUMBER(FIND(MacroLega!V46,O14)),20,0)+IF(ISNUMBER(FIND(MacroLega!W46,O14)),20,0)+IF(ISNUMBER(FIND(MacroLega!R46,P14)),30,0)+IF(ISNUMBER(FIND(MacroLega!S46,P14)),30,0)+IF(ISNUMBER(FIND(MacroLega!T46,P14)),30,0)+IF(ISNUMBER(FIND(MacroLega!U46,P14)),30,0)+IF(ISNUMBER(FIND(MacroLega!V46,P14)),30,0)+IF(ISNUMBER(FIND(MacroLega!W46,P14)),30,0)+SUM(MacroLega!R46:MacroLega!W46)),0)+IF(ISNUMBER(FIND("Horns Luccini",AG14)),20,0)+IF(ISNUMBER(FIND("Horns Luccini",AH14)),20,0)+IF(ISNUMBER(FIND("Horns Luccini",AI14)),20,0)+IF(ISNUMBER(FIND("Horns Luccini",AJ14)),20,0)+IF(ISNUMBER(FIND("Horns Luccini",AK14)),20,0)+IF(ISNUMBER(FIND("Horns Luccini",AL14)),20,0)</f>
        <v>0</v>
      </c>
      <c r="R14" s="268"/>
      <c r="S14" s="268"/>
      <c r="T14" s="268"/>
      <c r="U14" s="268"/>
      <c r="V14" s="71"/>
      <c r="W14" s="71"/>
      <c r="X14" s="71"/>
      <c r="Y14" s="71"/>
      <c r="Z14" s="71"/>
      <c r="AA14" s="71"/>
      <c r="AB14" s="46">
        <f t="shared" si="1"/>
        <v>0</v>
      </c>
      <c r="AC14" s="76">
        <f>IF(L14&lt;&gt;"",(IF(L14="M",Macro!N12)),(""))</f>
      </c>
      <c r="AD14" s="77">
        <f>IF(L14&lt;&gt;"",(IF(L14="M","")),(Macro!N12))</f>
        <v>0</v>
      </c>
      <c r="AE14" s="28"/>
      <c r="AF14" s="1"/>
      <c r="AG14" s="178">
        <f>IF(MacroLega!K12&gt;1,VLOOKUP(MacroLega!K12,MacroLega!$B$2:$C$67,2),"")</f>
      </c>
      <c r="AH14" s="179">
        <f>IF(MacroLega!L12&gt;1,IF(AG14&lt;&gt;"",", ","")&amp;VLOOKUP(MacroLega!L12,MacroLega!$B$2:$C$67,2),"")</f>
      </c>
      <c r="AI14" s="179">
        <f>IF(MacroLega!M12&gt;1,IF(AG14&amp;AH14&lt;&gt;"",", ","")&amp;VLOOKUP(MacroLega!M12,MacroLega!$B$2:$C$67,2),"")</f>
      </c>
      <c r="AJ14" s="179">
        <f>IF(MacroLega!N12&gt;1,IF(AG14&amp;AH14&amp;AI14&lt;&gt;"",", ","")&amp;VLOOKUP(MacroLega!N12,MacroLega!$B$2:$C$65,2),"")</f>
      </c>
      <c r="AK14" s="179">
        <f>IF(MacroLega!O12&gt;1,IF(AG14&amp;AH14&amp;AI14&amp;AJ14&lt;&gt;"",", ","")&amp;VLOOKUP(MacroLega!O12,MacroLega!$B$2:$C$65,2),"")</f>
      </c>
      <c r="AL14" s="180">
        <f>IF(MacroLega!P12&gt;1,IF(AG14&amp;AH14&amp;AI14&amp;AJ14&amp;AK14&lt;&gt;"",", ","")&amp;VLOOKUP(MacroLega!P12,MacroLega!$B$2:$C$65,2),"")</f>
      </c>
      <c r="AO14" s="269" t="e">
        <f>Macro!J12</f>
        <v>#N/A</v>
      </c>
      <c r="AP14" s="269" t="e">
        <f>Macro!K12</f>
        <v>#N/A</v>
      </c>
      <c r="AQ14" s="269" t="e">
        <f>Macro!L12</f>
        <v>#N/A</v>
      </c>
      <c r="AR14" s="269" t="e">
        <f>Macro!M12</f>
        <v>#N/A</v>
      </c>
    </row>
    <row r="15" spans="2:44" ht="18" customHeight="1">
      <c r="B15" s="20"/>
      <c r="C15" s="86">
        <v>11</v>
      </c>
      <c r="D15" s="74"/>
      <c r="E15" s="8">
        <f>IF(Macro!I13&lt;=1,"",VLOOKUP(Macro!I13,Macro!AH:AI,2,FALSE))</f>
      </c>
      <c r="F15" s="13">
        <f>IF(E15&lt;&gt;"",VLOOKUP(E15,Macro!$Q:$Z,2,FALSE)+R15+MacroLega!F13,"")</f>
      </c>
      <c r="G15" s="13">
        <f>IF(E15&lt;&gt;"",VLOOKUP(E15,Macro!$Q:$Z,3,FALSE)+S15+MacroLega!G13,"")</f>
      </c>
      <c r="H15" s="13">
        <f>IF(E15&lt;&gt;"",VLOOKUP(E15,Macro!$Q:$Z,4,FALSE)+T15+MacroLega!H13,"")</f>
      </c>
      <c r="I15" s="13">
        <f>IF(E15&lt;&gt;"",VLOOKUP(E15,Macro!$Q:$Z,5,FALSE)+U15+MacroLega!I13,"")</f>
      </c>
      <c r="J15" s="9">
        <f>IF(E15="","",IF(COUNTIF(E5:E20,E15)&gt;VLOOKUP(E15,Macro!Q:Z,10,FALSE),"ERRORE! TROPPI GIOCATORI IN QUESTO RUOLO!",VLOOKUP(E15,Macro!Q:Z,6,FALSE)))</f>
      </c>
      <c r="K15" s="266">
        <f>IF(MacroLega!N47=0,IF(MacroLega!P47&gt;0,"ERRORE!",AG15&amp;AH15&amp;AI15&amp;AJ15&amp;AK15&amp;AL15),AG15&amp;AH15&amp;AI15&amp;AJ15&amp;AK15&amp;AL15)</f>
      </c>
      <c r="L15" s="68"/>
      <c r="M15" s="68"/>
      <c r="N15" s="11">
        <f t="shared" si="0"/>
      </c>
      <c r="O15" s="11">
        <f>(IF(E15&lt;&gt;"",VLOOKUP(E15,Macro!Q:Z,8,FALSE),""))</f>
      </c>
      <c r="P15" s="11">
        <f>(IF(E15&lt;&gt;"",VLOOKUP(E15,Macro!Q:Z,9,FALSE),""))</f>
      </c>
      <c r="Q15" s="267">
        <f>IF(AB15&lt;&gt;"Star",(IF(ISNUMBER(FIND(MacroLega!R47,O15)),20,0)+IF(ISNUMBER(FIND(MacroLega!S47,O15)),20,0)+IF(ISNUMBER(FIND(MacroLega!T47,O15)),20,0)+IF(ISNUMBER(FIND(MacroLega!U47,O15)),20,0)+IF(ISNUMBER(FIND(MacroLega!V47,O15)),20,0)+IF(ISNUMBER(FIND(MacroLega!W47,O15)),20,0)+IF(ISNUMBER(FIND(MacroLega!R47,P15)),30,0)+IF(ISNUMBER(FIND(MacroLega!S47,P15)),30,0)+IF(ISNUMBER(FIND(MacroLega!T47,P15)),30,0)+IF(ISNUMBER(FIND(MacroLega!U47,P15)),30,0)+IF(ISNUMBER(FIND(MacroLega!V47,P15)),30,0)+IF(ISNUMBER(FIND(MacroLega!W47,P15)),30,0)+SUM(MacroLega!R47:MacroLega!W47)),0)+IF(ISNUMBER(FIND("Horns Luccini",AG15)),20,0)+IF(ISNUMBER(FIND("Horns Luccini",AH15)),20,0)+IF(ISNUMBER(FIND("Horns Luccini",AI15)),20,0)+IF(ISNUMBER(FIND("Horns Luccini",AJ15)),20,0)+IF(ISNUMBER(FIND("Horns Luccini",AK15)),20,0)+IF(ISNUMBER(FIND("Horns Luccini",AL15)),20,0)</f>
        <v>0</v>
      </c>
      <c r="R15" s="268"/>
      <c r="S15" s="268"/>
      <c r="T15" s="268"/>
      <c r="U15" s="268"/>
      <c r="V15" s="71"/>
      <c r="W15" s="71"/>
      <c r="X15" s="71"/>
      <c r="Y15" s="71"/>
      <c r="Z15" s="71"/>
      <c r="AA15" s="71"/>
      <c r="AB15" s="46">
        <f t="shared" si="1"/>
        <v>0</v>
      </c>
      <c r="AC15" s="76">
        <f>IF(L15&lt;&gt;"",(IF(L15="M",Macro!N13)),(""))</f>
      </c>
      <c r="AD15" s="77">
        <f>IF(L15&lt;&gt;"",(IF(L15="M","")),(Macro!N13))</f>
        <v>0</v>
      </c>
      <c r="AE15" s="28"/>
      <c r="AF15" s="1"/>
      <c r="AG15" s="178">
        <f>IF(MacroLega!K13&gt;1,VLOOKUP(MacroLega!K13,MacroLega!$B$2:$C$67,2),"")</f>
      </c>
      <c r="AH15" s="179">
        <f>IF(MacroLega!L13&gt;1,IF(AG15&lt;&gt;"",", ","")&amp;VLOOKUP(MacroLega!L13,MacroLega!$B$2:$C$67,2),"")</f>
      </c>
      <c r="AI15" s="179">
        <f>IF(MacroLega!M13&gt;1,IF(AG15&amp;AH15&lt;&gt;"",", ","")&amp;VLOOKUP(MacroLega!M13,MacroLega!$B$2:$C$67,2),"")</f>
      </c>
      <c r="AJ15" s="179">
        <f>IF(MacroLega!N13&gt;1,IF(AG15&amp;AH15&amp;AI15&lt;&gt;"",", ","")&amp;VLOOKUP(MacroLega!N13,MacroLega!$B$2:$C$65,2),"")</f>
      </c>
      <c r="AK15" s="179">
        <f>IF(MacroLega!O13&gt;1,IF(AG15&amp;AH15&amp;AI15&amp;AJ15&lt;&gt;"",", ","")&amp;VLOOKUP(MacroLega!O13,MacroLega!$B$2:$C$65,2),"")</f>
      </c>
      <c r="AL15" s="180">
        <f>IF(MacroLega!P13&gt;1,IF(AG15&amp;AH15&amp;AI15&amp;AJ15&amp;AK15&lt;&gt;"",", ","")&amp;VLOOKUP(MacroLega!P13,MacroLega!$B$2:$C$65,2),"")</f>
      </c>
      <c r="AO15" s="269" t="e">
        <f>Macro!J13</f>
        <v>#N/A</v>
      </c>
      <c r="AP15" s="269" t="e">
        <f>Macro!K13</f>
        <v>#N/A</v>
      </c>
      <c r="AQ15" s="269" t="e">
        <f>Macro!L13</f>
        <v>#N/A</v>
      </c>
      <c r="AR15" s="269" t="e">
        <f>Macro!M13</f>
        <v>#N/A</v>
      </c>
    </row>
    <row r="16" spans="2:44" ht="18" customHeight="1">
      <c r="B16" s="20"/>
      <c r="C16" s="86">
        <v>12</v>
      </c>
      <c r="D16" s="74"/>
      <c r="E16" s="8">
        <f>IF(Macro!I14&lt;=1,"",VLOOKUP(Macro!I14,Macro!AH:AI,2,FALSE))</f>
      </c>
      <c r="F16" s="13">
        <f>IF(E16&lt;&gt;"",VLOOKUP(E16,Macro!$Q:$Z,2,FALSE)+R16+MacroLega!F14,"")</f>
      </c>
      <c r="G16" s="13">
        <f>IF(E16&lt;&gt;"",VLOOKUP(E16,Macro!$Q:$Z,3,FALSE)+S16+MacroLega!G14,"")</f>
      </c>
      <c r="H16" s="13">
        <f>IF(E16&lt;&gt;"",VLOOKUP(E16,Macro!$Q:$Z,4,FALSE)+T16+MacroLega!H14,"")</f>
      </c>
      <c r="I16" s="13">
        <f>IF(E16&lt;&gt;"",VLOOKUP(E16,Macro!$Q:$Z,5,FALSE)+U16+MacroLega!I14,"")</f>
      </c>
      <c r="J16" s="9">
        <f>IF(E16="","",IF(COUNTIF(E5:E20,E16)&gt;VLOOKUP(E16,Macro!Q:Z,10,FALSE),"ERRORE! TROPPI GIOCATORI IN QUESTO RUOLO!",VLOOKUP(E16,Macro!Q:Z,6,FALSE)))</f>
      </c>
      <c r="K16" s="266">
        <f>IF(MacroLega!N48=0,IF(MacroLega!P48&gt;0,"ERRORE!",AG16&amp;AH16&amp;AI16&amp;AJ16&amp;AK16&amp;AL16),AG16&amp;AH16&amp;AI16&amp;AJ16&amp;AK16&amp;AL16)</f>
      </c>
      <c r="L16" s="68"/>
      <c r="M16" s="68"/>
      <c r="N16" s="11">
        <f t="shared" si="0"/>
      </c>
      <c r="O16" s="11">
        <f>(IF(E16&lt;&gt;"",VLOOKUP(E16,Macro!Q:Z,8,FALSE),""))</f>
      </c>
      <c r="P16" s="11">
        <f>(IF(E16&lt;&gt;"",VLOOKUP(E16,Macro!Q:Z,9,FALSE),""))</f>
      </c>
      <c r="Q16" s="267">
        <f>IF(AB16&lt;&gt;"Star",(IF(ISNUMBER(FIND(MacroLega!R48,O16)),20,0)+IF(ISNUMBER(FIND(MacroLega!S48,O16)),20,0)+IF(ISNUMBER(FIND(MacroLega!T48,O16)),20,0)+IF(ISNUMBER(FIND(MacroLega!U48,O16)),20,0)+IF(ISNUMBER(FIND(MacroLega!V48,O16)),20,0)+IF(ISNUMBER(FIND(MacroLega!W48,O16)),20,0)+IF(ISNUMBER(FIND(MacroLega!R48,P16)),30,0)+IF(ISNUMBER(FIND(MacroLega!S48,P16)),30,0)+IF(ISNUMBER(FIND(MacroLega!T48,P16)),30,0)+IF(ISNUMBER(FIND(MacroLega!U48,P16)),30,0)+IF(ISNUMBER(FIND(MacroLega!V48,P16)),30,0)+IF(ISNUMBER(FIND(MacroLega!W48,P16)),30,0)+SUM(MacroLega!R48:MacroLega!W48)),0)+IF(ISNUMBER(FIND("Horns Luccini",AG16)),20,0)+IF(ISNUMBER(FIND("Horns Luccini",AH16)),20,0)+IF(ISNUMBER(FIND("Horns Luccini",AI16)),20,0)+IF(ISNUMBER(FIND("Horns Luccini",AJ16)),20,0)+IF(ISNUMBER(FIND("Horns Luccini",AK16)),20,0)+IF(ISNUMBER(FIND("Horns Luccini",AL16)),20,0)</f>
        <v>0</v>
      </c>
      <c r="R16" s="268"/>
      <c r="S16" s="268"/>
      <c r="T16" s="268"/>
      <c r="U16" s="268"/>
      <c r="V16" s="71"/>
      <c r="W16" s="71"/>
      <c r="X16" s="71"/>
      <c r="Y16" s="71"/>
      <c r="Z16" s="71"/>
      <c r="AA16" s="71"/>
      <c r="AB16" s="46">
        <f t="shared" si="1"/>
        <v>0</v>
      </c>
      <c r="AC16" s="76">
        <f>IF(L16&lt;&gt;"",(IF(L16="M",Macro!N14)),(""))</f>
      </c>
      <c r="AD16" s="77">
        <f>IF(L16&lt;&gt;"",(IF(L16="M","")),(Macro!N14))</f>
        <v>0</v>
      </c>
      <c r="AE16" s="28"/>
      <c r="AF16" s="1"/>
      <c r="AG16" s="178">
        <f>IF(MacroLega!K14&gt;1,VLOOKUP(MacroLega!K14,MacroLega!$B$2:$C$67,2),"")</f>
      </c>
      <c r="AH16" s="179">
        <f>IF(MacroLega!L14&gt;1,IF(AG16&lt;&gt;"",", ","")&amp;VLOOKUP(MacroLega!L14,MacroLega!$B$2:$C$67,2),"")</f>
      </c>
      <c r="AI16" s="179">
        <f>IF(MacroLega!M14&gt;1,IF(AG16&amp;AH16&lt;&gt;"",", ","")&amp;VLOOKUP(MacroLega!M14,MacroLega!$B$2:$C$67,2),"")</f>
      </c>
      <c r="AJ16" s="179">
        <f>IF(MacroLega!N14&gt;1,IF(AG16&amp;AH16&amp;AI16&lt;&gt;"",", ","")&amp;VLOOKUP(MacroLega!N14,MacroLega!$B$2:$C$65,2),"")</f>
      </c>
      <c r="AK16" s="179">
        <f>IF(MacroLega!O14&gt;1,IF(AG16&amp;AH16&amp;AI16&amp;AJ16&lt;&gt;"",", ","")&amp;VLOOKUP(MacroLega!O14,MacroLega!$B$2:$C$65,2),"")</f>
      </c>
      <c r="AL16" s="180">
        <f>IF(MacroLega!P14&gt;1,IF(AG16&amp;AH16&amp;AI16&amp;AJ16&amp;AK16&lt;&gt;"",", ","")&amp;VLOOKUP(MacroLega!P14,MacroLega!$B$2:$C$65,2),"")</f>
      </c>
      <c r="AO16" s="269" t="e">
        <f>Macro!J14</f>
        <v>#N/A</v>
      </c>
      <c r="AP16" s="269" t="e">
        <f>Macro!K14</f>
        <v>#N/A</v>
      </c>
      <c r="AQ16" s="269" t="e">
        <f>Macro!L14</f>
        <v>#N/A</v>
      </c>
      <c r="AR16" s="269" t="e">
        <f>Macro!M14</f>
        <v>#N/A</v>
      </c>
    </row>
    <row r="17" spans="2:44" ht="18" customHeight="1">
      <c r="B17" s="20"/>
      <c r="C17" s="86">
        <v>13</v>
      </c>
      <c r="D17" s="74"/>
      <c r="E17" s="8">
        <f>IF(Macro!I15&lt;=1,"",VLOOKUP(Macro!I15,Macro!AH:AI,2,FALSE))</f>
      </c>
      <c r="F17" s="13">
        <f>IF(E17&lt;&gt;"",VLOOKUP(E17,Macro!$Q:$Z,2,FALSE)+R17+MacroLega!F15,"")</f>
      </c>
      <c r="G17" s="13">
        <f>IF(E17&lt;&gt;"",VLOOKUP(E17,Macro!$Q:$Z,3,FALSE)+S17+MacroLega!G15,"")</f>
      </c>
      <c r="H17" s="13">
        <f>IF(E17&lt;&gt;"",VLOOKUP(E17,Macro!$Q:$Z,4,FALSE)+T17+MacroLega!H15,"")</f>
      </c>
      <c r="I17" s="13">
        <f>IF(E17&lt;&gt;"",VLOOKUP(E17,Macro!$Q:$Z,5,FALSE)+U17+MacroLega!I15,"")</f>
      </c>
      <c r="J17" s="9">
        <f>IF(E17="","",IF(COUNTIF(E5:E20,E17)&gt;VLOOKUP(E17,Macro!Q:Z,10,FALSE),"ERRORE! TROPPI GIOCATORI IN QUESTO RUOLO!",VLOOKUP(E17,Macro!Q:Z,6,FALSE)))</f>
      </c>
      <c r="K17" s="266">
        <f>IF(MacroLega!N49=0,IF(MacroLega!P49&gt;0,"ERRORE!",AG17&amp;AH17&amp;AI17&amp;AJ17&amp;AK17&amp;AL17),AG17&amp;AH17&amp;AI17&amp;AJ17&amp;AK17&amp;AL17)</f>
      </c>
      <c r="L17" s="68"/>
      <c r="M17" s="68"/>
      <c r="N17" s="11">
        <f t="shared" si="0"/>
      </c>
      <c r="O17" s="11">
        <f>(IF(E17&lt;&gt;"",VLOOKUP(E17,Macro!Q:Z,8,FALSE),""))</f>
      </c>
      <c r="P17" s="11">
        <f>(IF(E17&lt;&gt;"",VLOOKUP(E17,Macro!Q:Z,9,FALSE),""))</f>
      </c>
      <c r="Q17" s="267">
        <f>IF(AB17&lt;&gt;"Star",(IF(ISNUMBER(FIND(MacroLega!R49,O17)),20,0)+IF(ISNUMBER(FIND(MacroLega!S49,O17)),20,0)+IF(ISNUMBER(FIND(MacroLega!T49,O17)),20,0)+IF(ISNUMBER(FIND(MacroLega!U49,O17)),20,0)+IF(ISNUMBER(FIND(MacroLega!V49,O17)),20,0)+IF(ISNUMBER(FIND(MacroLega!W49,O17)),20,0)+IF(ISNUMBER(FIND(MacroLega!R49,P17)),30,0)+IF(ISNUMBER(FIND(MacroLega!S49,P17)),30,0)+IF(ISNUMBER(FIND(MacroLega!T49,P17)),30,0)+IF(ISNUMBER(FIND(MacroLega!U49,P17)),30,0)+IF(ISNUMBER(FIND(MacroLega!V49,P17)),30,0)+IF(ISNUMBER(FIND(MacroLega!W49,P17)),30,0)+SUM(MacroLega!R49:MacroLega!W49)),0)+IF(ISNUMBER(FIND("Horns Luccini",AG17)),20,0)+IF(ISNUMBER(FIND("Horns Luccini",AH17)),20,0)+IF(ISNUMBER(FIND("Horns Luccini",AI17)),20,0)+IF(ISNUMBER(FIND("Horns Luccini",AJ17)),20,0)+IF(ISNUMBER(FIND("Horns Luccini",AK17)),20,0)+IF(ISNUMBER(FIND("Horns Luccini",AL17)),20,0)</f>
        <v>0</v>
      </c>
      <c r="R17" s="268"/>
      <c r="S17" s="268"/>
      <c r="T17" s="268"/>
      <c r="U17" s="268"/>
      <c r="V17" s="71"/>
      <c r="W17" s="71"/>
      <c r="X17" s="71"/>
      <c r="Y17" s="71"/>
      <c r="Z17" s="71"/>
      <c r="AA17" s="71"/>
      <c r="AB17" s="46">
        <f t="shared" si="1"/>
        <v>0</v>
      </c>
      <c r="AC17" s="76">
        <f>IF(L17&lt;&gt;"",(IF(L17="M",Macro!N15)),(""))</f>
      </c>
      <c r="AD17" s="77">
        <f>IF(L17&lt;&gt;"",(IF(L17="M","")),(Macro!N15))</f>
        <v>0</v>
      </c>
      <c r="AE17" s="28"/>
      <c r="AF17" s="1"/>
      <c r="AG17" s="178">
        <f>IF(MacroLega!K15&gt;1,VLOOKUP(MacroLega!K15,MacroLega!$B$2:$C$67,2),"")</f>
      </c>
      <c r="AH17" s="179">
        <f>IF(MacroLega!L15&gt;1,IF(AG17&lt;&gt;"",", ","")&amp;VLOOKUP(MacroLega!L15,MacroLega!$B$2:$C$67,2),"")</f>
      </c>
      <c r="AI17" s="179">
        <f>IF(MacroLega!M15&gt;1,IF(AG17&amp;AH17&lt;&gt;"",", ","")&amp;VLOOKUP(MacroLega!M15,MacroLega!$B$2:$C$67,2),"")</f>
      </c>
      <c r="AJ17" s="179">
        <f>IF(MacroLega!N15&gt;1,IF(AG17&amp;AH17&amp;AI17&lt;&gt;"",", ","")&amp;VLOOKUP(MacroLega!N15,MacroLega!$B$2:$C$65,2),"")</f>
      </c>
      <c r="AK17" s="179">
        <f>IF(MacroLega!O15&gt;1,IF(AG17&amp;AH17&amp;AI17&amp;AJ17&lt;&gt;"",", ","")&amp;VLOOKUP(MacroLega!O15,MacroLega!$B$2:$C$65,2),"")</f>
      </c>
      <c r="AL17" s="180">
        <f>IF(MacroLega!P15&gt;1,IF(AG17&amp;AH17&amp;AI17&amp;AJ17&amp;AK17&lt;&gt;"",", ","")&amp;VLOOKUP(MacroLega!P15,MacroLega!$B$2:$C$65,2),"")</f>
      </c>
      <c r="AO17" s="269" t="e">
        <f>Macro!J15</f>
        <v>#N/A</v>
      </c>
      <c r="AP17" s="269" t="e">
        <f>Macro!K15</f>
        <v>#N/A</v>
      </c>
      <c r="AQ17" s="269" t="e">
        <f>Macro!L15</f>
        <v>#N/A</v>
      </c>
      <c r="AR17" s="269" t="e">
        <f>Macro!M15</f>
        <v>#N/A</v>
      </c>
    </row>
    <row r="18" spans="2:44" ht="18" customHeight="1">
      <c r="B18" s="20"/>
      <c r="C18" s="86">
        <v>14</v>
      </c>
      <c r="D18" s="74"/>
      <c r="E18" s="8">
        <f>IF(Macro!I16&lt;=1,"",VLOOKUP(Macro!I16,Macro!AH:AI,2,FALSE))</f>
      </c>
      <c r="F18" s="13">
        <f>IF(E18&lt;&gt;"",VLOOKUP(E18,Macro!$Q:$Z,2,FALSE)+R18+MacroLega!F16,"")</f>
      </c>
      <c r="G18" s="13">
        <f>IF(E18&lt;&gt;"",VLOOKUP(E18,Macro!$Q:$Z,3,FALSE)+S18+MacroLega!G16,"")</f>
      </c>
      <c r="H18" s="13">
        <f>IF(E18&lt;&gt;"",VLOOKUP(E18,Macro!$Q:$Z,4,FALSE)+T18+MacroLega!H16,"")</f>
      </c>
      <c r="I18" s="13">
        <f>IF(E18&lt;&gt;"",VLOOKUP(E18,Macro!$Q:$Z,5,FALSE)+U18+MacroLega!I16,"")</f>
      </c>
      <c r="J18" s="9">
        <f>IF(E18="","",IF(COUNTIF(E5:E20,E18)&gt;VLOOKUP(E18,Macro!Q:Z,10,FALSE),"ERRORE! TROPPI GIOCATORI IN QUESTO RUOLO!",VLOOKUP(E18,Macro!Q:Z,6,FALSE)))</f>
      </c>
      <c r="K18" s="266">
        <f>IF(MacroLega!N50=0,IF(MacroLega!P50&gt;0,"ERRORE!",AG18&amp;AH18&amp;AI18&amp;AJ18&amp;AK18&amp;AL18),AG18&amp;AH18&amp;AI18&amp;AJ18&amp;AK18&amp;AL18)</f>
      </c>
      <c r="L18" s="68"/>
      <c r="M18" s="68"/>
      <c r="N18" s="11">
        <f t="shared" si="0"/>
      </c>
      <c r="O18" s="11">
        <f>(IF(E18&lt;&gt;"",VLOOKUP(E18,Macro!Q:Z,8,FALSE),""))</f>
      </c>
      <c r="P18" s="11">
        <f>(IF(E18&lt;&gt;"",VLOOKUP(E18,Macro!Q:Z,9,FALSE),""))</f>
      </c>
      <c r="Q18" s="267">
        <f>IF(AB18&lt;&gt;"Star",(IF(ISNUMBER(FIND(MacroLega!R50,O18)),20,0)+IF(ISNUMBER(FIND(MacroLega!S50,O18)),20,0)+IF(ISNUMBER(FIND(MacroLega!T50,O18)),20,0)+IF(ISNUMBER(FIND(MacroLega!U50,O18)),20,0)+IF(ISNUMBER(FIND(MacroLega!V50,O18)),20,0)+IF(ISNUMBER(FIND(MacroLega!W50,O18)),20,0)+IF(ISNUMBER(FIND(MacroLega!R50,P18)),30,0)+IF(ISNUMBER(FIND(MacroLega!S50,P18)),30,0)+IF(ISNUMBER(FIND(MacroLega!T50,P18)),30,0)+IF(ISNUMBER(FIND(MacroLega!U50,P18)),30,0)+IF(ISNUMBER(FIND(MacroLega!V50,P18)),30,0)+IF(ISNUMBER(FIND(MacroLega!W50,P18)),30,0)+SUM(MacroLega!R50:MacroLega!W50)),0)+IF(ISNUMBER(FIND("Horns Luccini",AG18)),20,0)+IF(ISNUMBER(FIND("Horns Luccini",AH18)),20,0)+IF(ISNUMBER(FIND("Horns Luccini",AI18)),20,0)+IF(ISNUMBER(FIND("Horns Luccini",AJ18)),20,0)+IF(ISNUMBER(FIND("Horns Luccini",AK18)),20,0)+IF(ISNUMBER(FIND("Horns Luccini",AL18)),20,0)</f>
        <v>0</v>
      </c>
      <c r="R18" s="268"/>
      <c r="S18" s="268"/>
      <c r="T18" s="268"/>
      <c r="U18" s="268"/>
      <c r="V18" s="71"/>
      <c r="W18" s="71"/>
      <c r="X18" s="71"/>
      <c r="Y18" s="71"/>
      <c r="Z18" s="71"/>
      <c r="AA18" s="71"/>
      <c r="AB18" s="46">
        <f t="shared" si="1"/>
        <v>0</v>
      </c>
      <c r="AC18" s="76">
        <f>IF(L18&lt;&gt;"",(IF(L18="M",Macro!N16)),(""))</f>
      </c>
      <c r="AD18" s="77">
        <f>IF(L18&lt;&gt;"",(IF(L18="M","")),(Macro!N16))</f>
        <v>0</v>
      </c>
      <c r="AE18" s="28"/>
      <c r="AF18" s="1"/>
      <c r="AG18" s="178">
        <f>IF(MacroLega!K16&gt;1,VLOOKUP(MacroLega!K16,MacroLega!$B$2:$C$67,2),"")</f>
      </c>
      <c r="AH18" s="179">
        <f>IF(MacroLega!L16&gt;1,IF(AG18&lt;&gt;"",", ","")&amp;VLOOKUP(MacroLega!L16,MacroLega!$B$2:$C$67,2),"")</f>
      </c>
      <c r="AI18" s="179">
        <f>IF(MacroLega!M16&gt;1,IF(AG18&amp;AH18&lt;&gt;"",", ","")&amp;VLOOKUP(MacroLega!M16,MacroLega!$B$2:$C$67,2),"")</f>
      </c>
      <c r="AJ18" s="179">
        <f>IF(MacroLega!N16&gt;1,IF(AG18&amp;AH18&amp;AI18&lt;&gt;"",", ","")&amp;VLOOKUP(MacroLega!N16,MacroLega!$B$2:$C$65,2),"")</f>
      </c>
      <c r="AK18" s="179">
        <f>IF(MacroLega!O16&gt;1,IF(AG18&amp;AH18&amp;AI18&amp;AJ18&lt;&gt;"",", ","")&amp;VLOOKUP(MacroLega!O16,MacroLega!$B$2:$C$65,2),"")</f>
      </c>
      <c r="AL18" s="180">
        <f>IF(MacroLega!P16&gt;1,IF(AG18&amp;AH18&amp;AI18&amp;AJ18&amp;AK18&lt;&gt;"",", ","")&amp;VLOOKUP(MacroLega!P16,MacroLega!$B$2:$C$65,2),"")</f>
      </c>
      <c r="AO18" s="269" t="e">
        <f>Macro!J16</f>
        <v>#N/A</v>
      </c>
      <c r="AP18" s="269" t="e">
        <f>Macro!K16</f>
        <v>#N/A</v>
      </c>
      <c r="AQ18" s="269" t="e">
        <f>Macro!L16</f>
        <v>#N/A</v>
      </c>
      <c r="AR18" s="269" t="e">
        <f>Macro!M16</f>
        <v>#N/A</v>
      </c>
    </row>
    <row r="19" spans="2:44" ht="18" customHeight="1">
      <c r="B19" s="20"/>
      <c r="C19" s="86">
        <v>15</v>
      </c>
      <c r="D19" s="74"/>
      <c r="E19" s="8">
        <f>IF(Macro!I17&lt;=1,"",VLOOKUP(Macro!I17,Macro!AH:AI,2,FALSE))</f>
      </c>
      <c r="F19" s="13">
        <f>IF(E19&lt;&gt;"",VLOOKUP(E19,Macro!$Q:$Z,2,FALSE)+R19+MacroLega!F17,"")</f>
      </c>
      <c r="G19" s="13">
        <f>IF(E19&lt;&gt;"",VLOOKUP(E19,Macro!$Q:$Z,3,FALSE)+S19+MacroLega!G17,"")</f>
      </c>
      <c r="H19" s="13">
        <f>IF(E19&lt;&gt;"",VLOOKUP(E19,Macro!$Q:$Z,4,FALSE)+T19+MacroLega!H17,"")</f>
      </c>
      <c r="I19" s="13">
        <f>IF(E19&lt;&gt;"",VLOOKUP(E19,Macro!$Q:$Z,5,FALSE)+U19+MacroLega!I17,"")</f>
      </c>
      <c r="J19" s="9">
        <f>IF(E19="","",IF(COUNTIF(E5:E20,E19)&gt;VLOOKUP(E19,Macro!Q:Z,10,FALSE),"ERRORE! TROPPI GIOCATORI IN QUESTO RUOLO!",VLOOKUP(E19,Macro!Q:Z,6,FALSE)))</f>
      </c>
      <c r="K19" s="266">
        <f>IF(MacroLega!N51=0,IF(MacroLega!P51&gt;0,"ERRORE!",AG19&amp;AH19&amp;AI19&amp;AJ19&amp;AK19&amp;AL19),AG19&amp;AH19&amp;AI19&amp;AJ19&amp;AK19&amp;AL19)</f>
      </c>
      <c r="L19" s="68"/>
      <c r="M19" s="68"/>
      <c r="N19" s="11">
        <f t="shared" si="0"/>
      </c>
      <c r="O19" s="11">
        <f>(IF(E19&lt;&gt;"",VLOOKUP(E19,Macro!Q:Z,8,FALSE),""))</f>
      </c>
      <c r="P19" s="11">
        <f>(IF(E19&lt;&gt;"",VLOOKUP(E19,Macro!Q:Z,9,FALSE),""))</f>
      </c>
      <c r="Q19" s="267">
        <f>IF(AB19&lt;&gt;"Star",(IF(ISNUMBER(FIND(MacroLega!R51,O19)),20,0)+IF(ISNUMBER(FIND(MacroLega!S51,O19)),20,0)+IF(ISNUMBER(FIND(MacroLega!T51,O19)),20,0)+IF(ISNUMBER(FIND(MacroLega!U51,O19)),20,0)+IF(ISNUMBER(FIND(MacroLega!V51,O19)),20,0)+IF(ISNUMBER(FIND(MacroLega!W51,O19)),20,0)+IF(ISNUMBER(FIND(MacroLega!R51,P19)),30,0)+IF(ISNUMBER(FIND(MacroLega!S51,P19)),30,0)+IF(ISNUMBER(FIND(MacroLega!T51,P19)),30,0)+IF(ISNUMBER(FIND(MacroLega!U51,P19)),30,0)+IF(ISNUMBER(FIND(MacroLega!V51,P19)),30,0)+IF(ISNUMBER(FIND(MacroLega!W51,P19)),30,0)+SUM(MacroLega!R51:MacroLega!W51)),0)+IF(ISNUMBER(FIND("Horns Luccini",AG19)),20,0)+IF(ISNUMBER(FIND("Horns Luccini",AH19)),20,0)+IF(ISNUMBER(FIND("Horns Luccini",AI19)),20,0)+IF(ISNUMBER(FIND("Horns Luccini",AJ19)),20,0)+IF(ISNUMBER(FIND("Horns Luccini",AK19)),20,0)+IF(ISNUMBER(FIND("Horns Luccini",AL19)),20,0)</f>
        <v>0</v>
      </c>
      <c r="R19" s="268"/>
      <c r="S19" s="268"/>
      <c r="T19" s="268"/>
      <c r="U19" s="268"/>
      <c r="V19" s="71"/>
      <c r="W19" s="71"/>
      <c r="X19" s="71"/>
      <c r="Y19" s="71"/>
      <c r="Z19" s="71"/>
      <c r="AA19" s="71"/>
      <c r="AB19" s="46">
        <f t="shared" si="1"/>
        <v>0</v>
      </c>
      <c r="AC19" s="76">
        <f>IF(L19&lt;&gt;"",(IF(L19="M",Macro!N17)),(""))</f>
      </c>
      <c r="AD19" s="77">
        <f>IF(L19&lt;&gt;"",(IF(L19="M","")),(Macro!N17))</f>
        <v>0</v>
      </c>
      <c r="AE19" s="28"/>
      <c r="AF19" s="1"/>
      <c r="AG19" s="178">
        <f>IF(MacroLega!K17&gt;1,VLOOKUP(MacroLega!K17,MacroLega!$B$2:$C$67,2),"")</f>
      </c>
      <c r="AH19" s="179">
        <f>IF(MacroLega!L17&gt;1,IF(AG19&lt;&gt;"",", ","")&amp;VLOOKUP(MacroLega!L17,MacroLega!$B$2:$C$67,2),"")</f>
      </c>
      <c r="AI19" s="179">
        <f>IF(MacroLega!M17&gt;1,IF(AG19&amp;AH19&lt;&gt;"",", ","")&amp;VLOOKUP(MacroLega!M17,MacroLega!$B$2:$C$67,2),"")</f>
      </c>
      <c r="AJ19" s="179">
        <f>IF(MacroLega!N17&gt;1,IF(AG19&amp;AH19&amp;AI19&lt;&gt;"",", ","")&amp;VLOOKUP(MacroLega!N17,MacroLega!$B$2:$C$65,2),"")</f>
      </c>
      <c r="AK19" s="179">
        <f>IF(MacroLega!O17&gt;1,IF(AG19&amp;AH19&amp;AI19&amp;AJ19&lt;&gt;"",", ","")&amp;VLOOKUP(MacroLega!O17,MacroLega!$B$2:$C$65,2),"")</f>
      </c>
      <c r="AL19" s="180">
        <f>IF(MacroLega!P17&gt;1,IF(AG19&amp;AH19&amp;AI19&amp;AJ19&amp;AK19&lt;&gt;"",", ","")&amp;VLOOKUP(MacroLega!P17,MacroLega!$B$2:$C$65,2),"")</f>
      </c>
      <c r="AO19" s="269" t="e">
        <f>Macro!J17</f>
        <v>#N/A</v>
      </c>
      <c r="AP19" s="269" t="e">
        <f>Macro!K17</f>
        <v>#N/A</v>
      </c>
      <c r="AQ19" s="269" t="e">
        <f>Macro!L17</f>
        <v>#N/A</v>
      </c>
      <c r="AR19" s="269" t="e">
        <f>Macro!M17</f>
        <v>#N/A</v>
      </c>
    </row>
    <row r="20" spans="2:44" ht="18" customHeight="1" thickBot="1">
      <c r="B20" s="20"/>
      <c r="C20" s="87">
        <v>16</v>
      </c>
      <c r="D20" s="75"/>
      <c r="E20" s="18">
        <f>IF(Macro!I18&lt;=1,"",VLOOKUP(Macro!I18,Macro!AH:AI,2,FALSE))</f>
      </c>
      <c r="F20" s="13">
        <f>IF(E20&lt;&gt;"",VLOOKUP(E20,Macro!$Q:$Z,2,FALSE)+R20+MacroLega!F18,"")</f>
      </c>
      <c r="G20" s="13">
        <f>IF(E20&lt;&gt;"",VLOOKUP(E20,Macro!$Q:$Z,3,FALSE)+S20+MacroLega!G18,"")</f>
      </c>
      <c r="H20" s="13">
        <f>IF(E20&lt;&gt;"",VLOOKUP(E20,Macro!$Q:$Z,4,FALSE)+T20+MacroLega!H18,"")</f>
      </c>
      <c r="I20" s="13">
        <f>IF(E20&lt;&gt;"",VLOOKUP(E20,Macro!$Q:$Z,5,FALSE)+U20+MacroLega!I18,"")</f>
      </c>
      <c r="J20" s="44">
        <f>IF(E20="","",IF(COUNTIF(E5:E20,E20)&gt;VLOOKUP(E20,Macro!Q:Z,10,FALSE),"ERRORE! TROPPI GIOCATORI IN QUESTO RUOLO!",VLOOKUP(E20,Macro!Q:Z,6,FALSE)))</f>
      </c>
      <c r="K20" s="266">
        <f>IF(MacroLega!N52=0,IF(MacroLega!P52&gt;0,"ERRORE!",AG20&amp;AH20&amp;AI20&amp;AJ20&amp;AK20&amp;AL20),AG20&amp;AH20&amp;AI20&amp;AJ20&amp;AK20&amp;AL20)</f>
      </c>
      <c r="L20" s="69"/>
      <c r="M20" s="69"/>
      <c r="N20" s="45">
        <f t="shared" si="0"/>
      </c>
      <c r="O20" s="45">
        <f>(IF(E20&lt;&gt;"",VLOOKUP(E20,Macro!Q:Z,8,FALSE),""))</f>
      </c>
      <c r="P20" s="45">
        <f>(IF(E20&lt;&gt;"",VLOOKUP(E20,Macro!Q:Z,9,FALSE),""))</f>
      </c>
      <c r="Q20" s="267">
        <f>IF(AB20&lt;&gt;"Star",(IF(ISNUMBER(FIND(MacroLega!R52,O20)),20,0)+IF(ISNUMBER(FIND(MacroLega!S52,O20)),20,0)+IF(ISNUMBER(FIND(MacroLega!T52,O20)),20,0)+IF(ISNUMBER(FIND(MacroLega!U52,O20)),20,0)+IF(ISNUMBER(FIND(MacroLega!V52,O20)),20,0)+IF(ISNUMBER(FIND(MacroLega!W52,O20)),20,0)+IF(ISNUMBER(FIND(MacroLega!R52,P20)),30,0)+IF(ISNUMBER(FIND(MacroLega!S52,P20)),30,0)+IF(ISNUMBER(FIND(MacroLega!T52,P20)),30,0)+IF(ISNUMBER(FIND(MacroLega!U52,P20)),30,0)+IF(ISNUMBER(FIND(MacroLega!V52,P20)),30,0)+IF(ISNUMBER(FIND(MacroLega!W52,P20)),30,0)+SUM(MacroLega!R52:MacroLega!W52)),0)+IF(ISNUMBER(FIND("Horns Luccini",AG20)),20,0)+IF(ISNUMBER(FIND("Horns Luccini",AH20)),20,0)+IF(ISNUMBER(FIND("Horns Luccini",AI20)),20,0)+IF(ISNUMBER(FIND("Horns Luccini",AJ20)),20,0)+IF(ISNUMBER(FIND("Horns Luccini",AK20)),20,0)+IF(ISNUMBER(FIND("Horns Luccini",AL20)),20,0)</f>
        <v>0</v>
      </c>
      <c r="R20" s="268"/>
      <c r="S20" s="268"/>
      <c r="T20" s="268"/>
      <c r="U20" s="268"/>
      <c r="V20" s="72"/>
      <c r="W20" s="72"/>
      <c r="X20" s="72"/>
      <c r="Y20" s="72"/>
      <c r="Z20" s="72"/>
      <c r="AA20" s="72"/>
      <c r="AB20" s="46">
        <f t="shared" si="1"/>
        <v>0</v>
      </c>
      <c r="AC20" s="76">
        <f>IF(L20&lt;&gt;"",(IF(L20="M",Macro!N18)),(""))</f>
      </c>
      <c r="AD20" s="77">
        <f>IF(L20&lt;&gt;"",(IF(L20="M","")),(Macro!N18))</f>
        <v>0</v>
      </c>
      <c r="AE20" s="28"/>
      <c r="AF20" s="1"/>
      <c r="AG20" s="178">
        <f>IF(MacroLega!K18&gt;1,VLOOKUP(MacroLega!K18,MacroLega!$B$2:$C$67,2),"")</f>
      </c>
      <c r="AH20" s="179">
        <f>IF(MacroLega!L18&gt;1,IF(AG20&lt;&gt;"",", ","")&amp;VLOOKUP(MacroLega!L18,MacroLega!$B$2:$C$67,2),"")</f>
      </c>
      <c r="AI20" s="179">
        <f>IF(MacroLega!M18&gt;1,IF(AG20&amp;AH20&lt;&gt;"",", ","")&amp;VLOOKUP(MacroLega!M18,MacroLega!$B$2:$C$67,2),"")</f>
      </c>
      <c r="AJ20" s="179">
        <f>IF(MacroLega!N18&gt;1,IF(AG20&amp;AH20&amp;AI20&lt;&gt;"",", ","")&amp;VLOOKUP(MacroLega!N18,MacroLega!$B$2:$C$65,2),"")</f>
      </c>
      <c r="AK20" s="179">
        <f>IF(MacroLega!O18&gt;1,IF(AG20&amp;AH20&amp;AI20&amp;AJ20&lt;&gt;"",", ","")&amp;VLOOKUP(MacroLega!O18,MacroLega!$B$2:$C$65,2),"")</f>
      </c>
      <c r="AL20" s="180">
        <f>IF(MacroLega!P18&gt;1,IF(AG20&amp;AH20&amp;AI20&amp;AJ20&amp;AK20&lt;&gt;"",", ","")&amp;VLOOKUP(MacroLega!P18,MacroLega!$B$2:$C$65,2),"")</f>
      </c>
      <c r="AO20" s="269" t="e">
        <f>Macro!J18</f>
        <v>#N/A</v>
      </c>
      <c r="AP20" s="269" t="e">
        <f>Macro!K18</f>
        <v>#N/A</v>
      </c>
      <c r="AQ20" s="269" t="e">
        <f>Macro!L18</f>
        <v>#N/A</v>
      </c>
      <c r="AR20" s="269" t="e">
        <f>Macro!M18</f>
        <v>#N/A</v>
      </c>
    </row>
    <row r="21" spans="2:32" ht="17.25" customHeight="1" thickBot="1">
      <c r="B21" s="20"/>
      <c r="C21" s="363" t="s">
        <v>130</v>
      </c>
      <c r="D21" s="351"/>
      <c r="E21" s="173" t="s">
        <v>148</v>
      </c>
      <c r="F21" s="349" t="s">
        <v>643</v>
      </c>
      <c r="G21" s="350"/>
      <c r="H21" s="350"/>
      <c r="I21" s="351"/>
      <c r="J21" s="41" t="s">
        <v>49</v>
      </c>
      <c r="K21" s="78">
        <f>ROUNDDOWN((AC28/10000),0)+ROUNDDOWN((SUM(AB5:AB20)/5),0)</f>
        <v>0</v>
      </c>
      <c r="L21" s="59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8" t="s">
        <v>158</v>
      </c>
      <c r="AC21" s="334">
        <f>SUM(AD5:AD20)</f>
        <v>0</v>
      </c>
      <c r="AD21" s="335"/>
      <c r="AE21" s="27"/>
      <c r="AF21" s="3"/>
    </row>
    <row r="22" spans="2:32" ht="17.25" customHeight="1">
      <c r="B22" s="20"/>
      <c r="C22" s="364"/>
      <c r="D22" s="365"/>
      <c r="E22" s="174" t="s">
        <v>146</v>
      </c>
      <c r="F22" s="352" t="s">
        <v>644</v>
      </c>
      <c r="G22" s="353"/>
      <c r="H22" s="353"/>
      <c r="I22" s="354"/>
      <c r="J22" s="47" t="s">
        <v>160</v>
      </c>
      <c r="K22" s="79" t="s">
        <v>920</v>
      </c>
      <c r="L22" s="61"/>
      <c r="M22" s="62"/>
      <c r="N22" s="62"/>
      <c r="O22" s="62"/>
      <c r="P22" s="62"/>
      <c r="Q22" s="62"/>
      <c r="R22" s="62"/>
      <c r="S22" s="62"/>
      <c r="T22" s="62"/>
      <c r="U22" s="57" t="s">
        <v>150</v>
      </c>
      <c r="V22" s="17">
        <v>0</v>
      </c>
      <c r="W22" s="49" t="s">
        <v>47</v>
      </c>
      <c r="X22" s="340">
        <f>IF(K24&lt;&gt;"",VLOOKUP(K24,Macro!AC2:Macro!AD27,2,FALSE),0)</f>
        <v>50000</v>
      </c>
      <c r="Y22" s="340"/>
      <c r="Z22" s="340"/>
      <c r="AA22" s="340"/>
      <c r="AB22" s="51" t="s">
        <v>458</v>
      </c>
      <c r="AC22" s="344">
        <f>V22*X22</f>
        <v>0</v>
      </c>
      <c r="AD22" s="345"/>
      <c r="AE22" s="27"/>
      <c r="AF22" s="3"/>
    </row>
    <row r="23" spans="2:32" ht="17.25" customHeight="1">
      <c r="B23" s="20"/>
      <c r="C23" s="366"/>
      <c r="D23" s="367"/>
      <c r="E23" s="175" t="s">
        <v>147</v>
      </c>
      <c r="F23" s="355" t="s">
        <v>645</v>
      </c>
      <c r="G23" s="356"/>
      <c r="H23" s="356"/>
      <c r="I23" s="357"/>
      <c r="J23" s="42" t="s">
        <v>33</v>
      </c>
      <c r="K23" s="79"/>
      <c r="L23" s="63"/>
      <c r="M23" s="64"/>
      <c r="N23" s="64"/>
      <c r="O23" s="64"/>
      <c r="P23" s="64"/>
      <c r="Q23" s="64"/>
      <c r="R23" s="64"/>
      <c r="S23" s="64"/>
      <c r="T23" s="64"/>
      <c r="U23" s="56" t="s">
        <v>149</v>
      </c>
      <c r="V23" s="6">
        <v>0</v>
      </c>
      <c r="W23" s="50" t="s">
        <v>47</v>
      </c>
      <c r="X23" s="336">
        <v>10000</v>
      </c>
      <c r="Y23" s="336"/>
      <c r="Z23" s="336"/>
      <c r="AA23" s="336"/>
      <c r="AB23" s="52" t="s">
        <v>458</v>
      </c>
      <c r="AC23" s="343">
        <f>V23*X23</f>
        <v>0</v>
      </c>
      <c r="AD23" s="330"/>
      <c r="AE23" s="27"/>
      <c r="AF23" s="3"/>
    </row>
    <row r="24" spans="2:32" ht="17.25" customHeight="1">
      <c r="B24" s="20"/>
      <c r="C24" s="366"/>
      <c r="D24" s="367"/>
      <c r="E24" s="175" t="s">
        <v>642</v>
      </c>
      <c r="F24" s="355" t="s">
        <v>646</v>
      </c>
      <c r="G24" s="356"/>
      <c r="H24" s="356"/>
      <c r="I24" s="357"/>
      <c r="J24" s="42" t="s">
        <v>9</v>
      </c>
      <c r="K24" s="80" t="str">
        <f>VLOOKUP(Macro!J22,Macro!AB2:Macro!AC27,2,FALSE)</f>
        <v>Amazon</v>
      </c>
      <c r="L24" s="63"/>
      <c r="M24" s="64"/>
      <c r="N24" s="64"/>
      <c r="O24" s="64"/>
      <c r="P24" s="64"/>
      <c r="Q24" s="64"/>
      <c r="R24" s="64"/>
      <c r="S24" s="64"/>
      <c r="T24" s="64"/>
      <c r="U24" s="56" t="s">
        <v>159</v>
      </c>
      <c r="V24" s="6">
        <v>0</v>
      </c>
      <c r="W24" s="50" t="s">
        <v>47</v>
      </c>
      <c r="X24" s="336">
        <v>10000</v>
      </c>
      <c r="Y24" s="336"/>
      <c r="Z24" s="336"/>
      <c r="AA24" s="336"/>
      <c r="AB24" s="52" t="s">
        <v>458</v>
      </c>
      <c r="AC24" s="343">
        <f>V24*X24</f>
        <v>0</v>
      </c>
      <c r="AD24" s="330"/>
      <c r="AE24" s="27"/>
      <c r="AF24" s="3"/>
    </row>
    <row r="25" spans="2:32" ht="17.25" customHeight="1">
      <c r="B25" s="20"/>
      <c r="C25" s="366"/>
      <c r="D25" s="367"/>
      <c r="E25" s="175" t="s">
        <v>641</v>
      </c>
      <c r="F25" s="355" t="s">
        <v>647</v>
      </c>
      <c r="G25" s="356"/>
      <c r="H25" s="356"/>
      <c r="I25" s="357"/>
      <c r="J25" s="43" t="s">
        <v>41</v>
      </c>
      <c r="K25" s="81"/>
      <c r="L25" s="63"/>
      <c r="M25" s="64"/>
      <c r="N25" s="64"/>
      <c r="O25" s="64"/>
      <c r="P25" s="64"/>
      <c r="Q25" s="64"/>
      <c r="R25" s="64"/>
      <c r="S25" s="64"/>
      <c r="T25" s="64"/>
      <c r="U25" s="56" t="s">
        <v>48</v>
      </c>
      <c r="V25" s="6">
        <v>0</v>
      </c>
      <c r="W25" s="50" t="s">
        <v>47</v>
      </c>
      <c r="X25" s="336">
        <v>10000</v>
      </c>
      <c r="Y25" s="336"/>
      <c r="Z25" s="336"/>
      <c r="AA25" s="336"/>
      <c r="AB25" s="52" t="s">
        <v>458</v>
      </c>
      <c r="AC25" s="343">
        <f>V25*X25</f>
        <v>0</v>
      </c>
      <c r="AD25" s="330"/>
      <c r="AE25" s="27"/>
      <c r="AF25" s="3"/>
    </row>
    <row r="26" spans="2:32" ht="17.25" customHeight="1" thickBot="1">
      <c r="B26" s="20"/>
      <c r="C26" s="366"/>
      <c r="D26" s="367"/>
      <c r="E26" s="175" t="s">
        <v>638</v>
      </c>
      <c r="F26" s="360" t="s">
        <v>648</v>
      </c>
      <c r="G26" s="361"/>
      <c r="H26" s="361"/>
      <c r="I26" s="362"/>
      <c r="J26" s="43" t="s">
        <v>7</v>
      </c>
      <c r="K26" s="82"/>
      <c r="L26" s="63"/>
      <c r="M26" s="64"/>
      <c r="N26" s="64"/>
      <c r="O26" s="64"/>
      <c r="P26" s="64"/>
      <c r="Q26" s="64"/>
      <c r="R26" s="64"/>
      <c r="S26" s="64"/>
      <c r="T26" s="65"/>
      <c r="U26" s="56" t="str">
        <f>IF(IF(K24&lt;&gt;"",VLOOKUP(K24,Macro!AE2:Macro!AF27,2,FALSE),0)=1,"APOTECARIO","")</f>
        <v>APOTECARIO</v>
      </c>
      <c r="V26" s="7">
        <v>0</v>
      </c>
      <c r="W26" s="50" t="str">
        <f>IF(IF(K24&lt;&gt;"",VLOOKUP(K24,Macro!AE2:AF27,2,FALSE),0)=1,"x","")</f>
        <v>x</v>
      </c>
      <c r="X26" s="336">
        <f>IF(IF(K24&lt;&gt;"",VLOOKUP(K24,Macro!AE2:AF27,2,FALSE),0)=1,50000,"")</f>
        <v>50000</v>
      </c>
      <c r="Y26" s="336"/>
      <c r="Z26" s="336"/>
      <c r="AA26" s="336"/>
      <c r="AB26" s="52" t="str">
        <f>IF(K24="Shambling Undead","",(IF(K24="Necromantic Horror","",(IF(K24="Khemri Tomb Kings","",(IF(K24="Nurgle","","gp")))))))</f>
        <v>gp</v>
      </c>
      <c r="AC26" s="343">
        <f>IF(K24="Shambling Undead",0,(IF(K24="Necromantic Horror",0,(IF(K24="Khemri Tomb Kings",0,(IF(K24="Nurgle",0,(IF(V26&lt;&gt;1,0,50000)))))))))</f>
        <v>0</v>
      </c>
      <c r="AD26" s="330"/>
      <c r="AE26" s="27"/>
      <c r="AF26" s="3"/>
    </row>
    <row r="27" spans="2:32" ht="17.25" customHeight="1" thickBot="1">
      <c r="B27" s="20"/>
      <c r="C27" s="366"/>
      <c r="D27" s="367"/>
      <c r="E27" s="175" t="s">
        <v>639</v>
      </c>
      <c r="F27" s="370" t="s">
        <v>649</v>
      </c>
      <c r="G27" s="371"/>
      <c r="H27" s="371"/>
      <c r="I27" s="372"/>
      <c r="J27" s="48" t="s">
        <v>265</v>
      </c>
      <c r="K27" s="88">
        <v>0</v>
      </c>
      <c r="L27" s="59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8" t="s">
        <v>157</v>
      </c>
      <c r="AC27" s="334">
        <f>SUM(AC22:AC26)</f>
        <v>0</v>
      </c>
      <c r="AD27" s="335"/>
      <c r="AE27" s="27"/>
      <c r="AF27" s="3"/>
    </row>
    <row r="28" spans="2:32" ht="17.25" customHeight="1" thickBot="1">
      <c r="B28" s="20"/>
      <c r="C28" s="368" t="s">
        <v>401</v>
      </c>
      <c r="D28" s="369"/>
      <c r="E28" s="176" t="s">
        <v>640</v>
      </c>
      <c r="F28" s="346" t="s">
        <v>650</v>
      </c>
      <c r="G28" s="347"/>
      <c r="H28" s="347"/>
      <c r="I28" s="348"/>
      <c r="J28" s="84" t="s">
        <v>267</v>
      </c>
      <c r="K28" s="83"/>
      <c r="L28" s="59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58" t="s">
        <v>266</v>
      </c>
      <c r="AC28" s="358">
        <f>AC21+AC27</f>
        <v>0</v>
      </c>
      <c r="AD28" s="359"/>
      <c r="AE28" s="27"/>
      <c r="AF28" s="3"/>
    </row>
    <row r="29" spans="2:32" ht="8.25" customHeight="1" thickBot="1">
      <c r="B29" s="21"/>
      <c r="C29" s="22"/>
      <c r="D29" s="22"/>
      <c r="E29" s="23"/>
      <c r="F29" s="22"/>
      <c r="G29" s="22"/>
      <c r="H29" s="22"/>
      <c r="I29" s="22"/>
      <c r="J29" s="22"/>
      <c r="K29" s="22"/>
      <c r="L29" s="22"/>
      <c r="M29" s="22"/>
      <c r="N29" s="22"/>
      <c r="O29" s="55"/>
      <c r="P29" s="24"/>
      <c r="Q29" s="24"/>
      <c r="R29" s="24"/>
      <c r="S29" s="24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5"/>
      <c r="AF29" s="3"/>
    </row>
    <row r="30" ht="8.25" customHeight="1" thickBot="1">
      <c r="AF30" s="1"/>
    </row>
    <row r="31" spans="2:32" ht="9" customHeight="1" thickBot="1">
      <c r="B31" s="181"/>
      <c r="C31" s="182"/>
      <c r="D31" s="182"/>
      <c r="E31" s="183"/>
      <c r="F31" s="182"/>
      <c r="G31" s="182"/>
      <c r="H31" s="182"/>
      <c r="I31" s="182"/>
      <c r="J31" s="182"/>
      <c r="K31" s="182"/>
      <c r="L31" s="182"/>
      <c r="M31" s="182"/>
      <c r="N31" s="182"/>
      <c r="O31" s="184"/>
      <c r="P31" s="185"/>
      <c r="Q31" s="185"/>
      <c r="R31" s="185"/>
      <c r="S31" s="185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6"/>
      <c r="AF31" s="1"/>
    </row>
    <row r="32" spans="2:32" ht="18" customHeight="1" thickBot="1">
      <c r="B32" s="187"/>
      <c r="C32" s="337" t="s">
        <v>662</v>
      </c>
      <c r="D32" s="338"/>
      <c r="E32" s="338"/>
      <c r="F32" s="338"/>
      <c r="G32" s="338"/>
      <c r="H32" s="338"/>
      <c r="I32" s="338"/>
      <c r="J32" s="338"/>
      <c r="K32" s="339"/>
      <c r="L32" s="337" t="s">
        <v>663</v>
      </c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9"/>
      <c r="AE32" s="188"/>
      <c r="AF32" s="1"/>
    </row>
    <row r="33" spans="2:32" ht="18" customHeight="1">
      <c r="B33" s="187"/>
      <c r="C33" s="85"/>
      <c r="D33" s="324">
        <f>IF(E33&lt;&gt;"",IF(K33&lt;&gt;"",MacroLega!AD3+50000,MacroLega!AD3),"")</f>
      </c>
      <c r="E33" s="12">
        <f>IF(MacroLega!Y3&lt;=1,"",VLOOKUP(MacroLega!Y3,MacroLega!$AP:$AQ,2,FALSE))</f>
      </c>
      <c r="F33" s="189">
        <f>IF(E33&lt;&gt;"",VLOOKUP(E33,MacroLega!$AG:$AM,2,FALSE),"")</f>
      </c>
      <c r="G33" s="189">
        <f>IF(E33&lt;&gt;"",VLOOKUP(E33,MacroLega!$AG:$AM,3,FALSE),"")</f>
      </c>
      <c r="H33" s="189">
        <f>IF(E33&lt;&gt;"",VLOOKUP(E33,MacroLega!$AG:$AM,4,FALSE),"")</f>
      </c>
      <c r="I33" s="189">
        <f>IF(E33&lt;&gt;"",VLOOKUP(E33,MacroLega!$AG:$AM,5,FALSE),"")</f>
      </c>
      <c r="J33" s="14">
        <f>IF(E33="","",VLOOKUP(E33,MacroLega!$AG:$AM,6,FALSE))</f>
      </c>
      <c r="K33" s="15"/>
      <c r="L33" s="61"/>
      <c r="M33" s="62"/>
      <c r="N33" s="62"/>
      <c r="O33" s="62"/>
      <c r="P33" s="62"/>
      <c r="Q33" s="62"/>
      <c r="R33" s="62"/>
      <c r="S33" s="62"/>
      <c r="T33" s="62"/>
      <c r="U33" s="57" t="s">
        <v>664</v>
      </c>
      <c r="V33" s="190">
        <v>0</v>
      </c>
      <c r="W33" s="191" t="s">
        <v>47</v>
      </c>
      <c r="X33" s="340">
        <v>50000</v>
      </c>
      <c r="Y33" s="340"/>
      <c r="Z33" s="340"/>
      <c r="AA33" s="340"/>
      <c r="AB33" s="192" t="s">
        <v>458</v>
      </c>
      <c r="AC33" s="341">
        <f>V33*X33</f>
        <v>0</v>
      </c>
      <c r="AD33" s="342"/>
      <c r="AE33" s="193"/>
      <c r="AF33" s="1"/>
    </row>
    <row r="34" spans="2:31" ht="18" customHeight="1">
      <c r="B34" s="187"/>
      <c r="C34" s="86"/>
      <c r="D34" s="324">
        <f>IF(E34&lt;&gt;"",IF(K34&lt;&gt;"",MacroLega!AD4+50000,MacroLega!AD4),"")</f>
      </c>
      <c r="E34" s="8">
        <f>IF(MacroLega!Y4&lt;=1,"",VLOOKUP(MacroLega!Y4,MacroLega!$AP:$AQ,2,FALSE))</f>
      </c>
      <c r="F34" s="189">
        <f>IF(E34&lt;&gt;"",VLOOKUP(E34,MacroLega!$AG:$AM,2,FALSE),"")</f>
      </c>
      <c r="G34" s="189">
        <f>IF(E34&lt;&gt;"",VLOOKUP(E34,MacroLega!$AG:$AM,3,FALSE),"")</f>
      </c>
      <c r="H34" s="189">
        <f>IF(E34&lt;&gt;"",VLOOKUP(E34,MacroLega!$AG:$AM,4,FALSE),"")</f>
      </c>
      <c r="I34" s="189">
        <f>IF(E34&lt;&gt;"",VLOOKUP(E34,MacroLega!$AG:$AM,5,FALSE),"")</f>
      </c>
      <c r="J34" s="14">
        <f>IF(E34="","",VLOOKUP(E34,MacroLega!$AG:$AM,6,FALSE))</f>
      </c>
      <c r="K34" s="10"/>
      <c r="L34" s="63"/>
      <c r="M34" s="64"/>
      <c r="N34" s="64"/>
      <c r="O34" s="64"/>
      <c r="P34" s="64"/>
      <c r="Q34" s="64"/>
      <c r="R34" s="64"/>
      <c r="S34" s="64"/>
      <c r="T34" s="64"/>
      <c r="U34" s="56" t="s">
        <v>665</v>
      </c>
      <c r="V34" s="6">
        <v>0</v>
      </c>
      <c r="W34" s="50" t="s">
        <v>47</v>
      </c>
      <c r="X34" s="336">
        <f>IF(K24="Goblin",50000,100000)</f>
        <v>100000</v>
      </c>
      <c r="Y34" s="336"/>
      <c r="Z34" s="336"/>
      <c r="AA34" s="336"/>
      <c r="AB34" s="52" t="s">
        <v>458</v>
      </c>
      <c r="AC34" s="329">
        <f aca="true" t="shared" si="2" ref="AC34:AC39">V34*X34</f>
        <v>0</v>
      </c>
      <c r="AD34" s="330"/>
      <c r="AE34" s="193"/>
    </row>
    <row r="35" spans="2:31" ht="18" customHeight="1">
      <c r="B35" s="187"/>
      <c r="C35" s="86"/>
      <c r="D35" s="324">
        <f>IF(E35&lt;&gt;"",IF(K35&lt;&gt;"",MacroLega!AD5+50000,MacroLega!AD5),"")</f>
      </c>
      <c r="E35" s="8">
        <f>IF(MacroLega!Y5&lt;=1,"",VLOOKUP(MacroLega!Y5,MacroLega!$AP:$AQ,2,FALSE))</f>
      </c>
      <c r="F35" s="189">
        <f>IF(E35&lt;&gt;"",VLOOKUP(E35,MacroLega!$AG:$AM,2,FALSE),"")</f>
      </c>
      <c r="G35" s="189">
        <f>IF(E35&lt;&gt;"",VLOOKUP(E35,MacroLega!$AG:$AM,3,FALSE),"")</f>
      </c>
      <c r="H35" s="189">
        <f>IF(E35&lt;&gt;"",VLOOKUP(E35,MacroLega!$AG:$AM,4,FALSE),"")</f>
      </c>
      <c r="I35" s="189">
        <f>IF(E35&lt;&gt;"",VLOOKUP(E35,MacroLega!$AG:$AM,5,FALSE),"")</f>
      </c>
      <c r="J35" s="14">
        <f>IF(E35="","",VLOOKUP(E35,MacroLega!$AG:$AM,6,FALSE))</f>
      </c>
      <c r="K35" s="10"/>
      <c r="L35" s="63"/>
      <c r="M35" s="64"/>
      <c r="N35" s="64"/>
      <c r="O35" s="64"/>
      <c r="P35" s="64"/>
      <c r="Q35" s="64"/>
      <c r="R35" s="64"/>
      <c r="S35" s="64"/>
      <c r="T35" s="64"/>
      <c r="U35" s="56" t="s">
        <v>666</v>
      </c>
      <c r="V35" s="6">
        <v>0</v>
      </c>
      <c r="W35" s="50" t="s">
        <v>47</v>
      </c>
      <c r="X35" s="336">
        <v>100000</v>
      </c>
      <c r="Y35" s="336"/>
      <c r="Z35" s="336"/>
      <c r="AA35" s="336"/>
      <c r="AB35" s="52" t="s">
        <v>458</v>
      </c>
      <c r="AC35" s="329">
        <f t="shared" si="2"/>
        <v>0</v>
      </c>
      <c r="AD35" s="330"/>
      <c r="AE35" s="193"/>
    </row>
    <row r="36" spans="2:31" ht="18" customHeight="1">
      <c r="B36" s="187"/>
      <c r="C36" s="86"/>
      <c r="D36" s="324">
        <f>IF(E36&lt;&gt;"",IF(K36&lt;&gt;"",MacroLega!AD6+50000,MacroLega!AD6),"")</f>
      </c>
      <c r="E36" s="8">
        <f>IF(MacroLega!Y6&lt;=1,"",VLOOKUP(MacroLega!Y6,MacroLega!$AP:$AQ,2,FALSE))</f>
      </c>
      <c r="F36" s="189">
        <f>IF(E36&lt;&gt;"",VLOOKUP(E36,MacroLega!$AG:$AM,2,FALSE),"")</f>
      </c>
      <c r="G36" s="189">
        <f>IF(E36&lt;&gt;"",VLOOKUP(E36,MacroLega!$AG:$AM,3,FALSE),"")</f>
      </c>
      <c r="H36" s="189">
        <f>IF(E36&lt;&gt;"",VLOOKUP(E36,MacroLega!$AG:$AM,4,FALSE),"")</f>
      </c>
      <c r="I36" s="189">
        <f>IF(E36&lt;&gt;"",VLOOKUP(E36,MacroLega!$AG:$AM,5,FALSE),"")</f>
      </c>
      <c r="J36" s="14">
        <f>IF(E36="","",VLOOKUP(E36,MacroLega!$AG:$AM,6,FALSE))</f>
      </c>
      <c r="K36" s="10"/>
      <c r="L36" s="63"/>
      <c r="M36" s="64"/>
      <c r="N36" s="64"/>
      <c r="O36" s="64"/>
      <c r="P36" s="64"/>
      <c r="Q36" s="64"/>
      <c r="R36" s="64"/>
      <c r="S36" s="64"/>
      <c r="T36" s="64"/>
      <c r="U36" s="56" t="s">
        <v>667</v>
      </c>
      <c r="V36" s="6">
        <v>0</v>
      </c>
      <c r="W36" s="50" t="s">
        <v>47</v>
      </c>
      <c r="X36" s="336">
        <f>IF(K24="Halfling",100000,300000)</f>
        <v>300000</v>
      </c>
      <c r="Y36" s="336"/>
      <c r="Z36" s="336"/>
      <c r="AA36" s="336"/>
      <c r="AB36" s="52" t="s">
        <v>458</v>
      </c>
      <c r="AC36" s="329">
        <f t="shared" si="2"/>
        <v>0</v>
      </c>
      <c r="AD36" s="330"/>
      <c r="AE36" s="193"/>
    </row>
    <row r="37" spans="2:31" ht="18" customHeight="1">
      <c r="B37" s="187"/>
      <c r="C37" s="86"/>
      <c r="D37" s="324">
        <f>IF(E37&lt;&gt;"",IF(K37&lt;&gt;"",MacroLega!AD7+50000,MacroLega!AD7),"")</f>
      </c>
      <c r="E37" s="8">
        <f>IF(MacroLega!Y7&lt;=1,"",VLOOKUP(MacroLega!Y7,MacroLega!$AP:$AQ,2,FALSE))</f>
      </c>
      <c r="F37" s="189">
        <f>IF(E37&lt;&gt;"",VLOOKUP(E37,MacroLega!$AG:$AM,2,FALSE),"")</f>
      </c>
      <c r="G37" s="189">
        <f>IF(E37&lt;&gt;"",VLOOKUP(E37,MacroLega!$AG:$AM,3,FALSE),"")</f>
      </c>
      <c r="H37" s="189">
        <f>IF(E37&lt;&gt;"",VLOOKUP(E37,MacroLega!$AG:$AM,4,FALSE),"")</f>
      </c>
      <c r="I37" s="189">
        <f>IF(E37&lt;&gt;"",VLOOKUP(E37,MacroLega!$AG:$AM,5,FALSE),"")</f>
      </c>
      <c r="J37" s="14">
        <f>IF(E37="","",VLOOKUP(E37,MacroLega!$AG:$AM,6,FALSE))</f>
      </c>
      <c r="K37" s="10"/>
      <c r="L37" s="63"/>
      <c r="M37" s="64"/>
      <c r="N37" s="64"/>
      <c r="O37" s="64"/>
      <c r="P37" s="64"/>
      <c r="Q37" s="64"/>
      <c r="R37" s="64"/>
      <c r="S37" s="64"/>
      <c r="T37" s="194"/>
      <c r="U37" s="195">
        <f>IF(K24="Undead","IGOR [0-1]",(IF(K24="Necromantic","IGOR [0-1]",(IF(K24="Khemri","IGOR [0-1]",(IF(K24="Nurgle","IGOR [0-1]","")))))))</f>
      </c>
      <c r="V37" s="7">
        <v>0</v>
      </c>
      <c r="W37" s="50">
        <f>IF(K24="Undead","x",(IF(K24="Necromantic","x",(IF(K24="Khemri","x",(IF(K24="Nurgle","x","")))))))</f>
      </c>
      <c r="X37" s="336">
        <f>IF(K24="Undead",100000,(IF(K24="Necromantic",100000,(IF(K24="Khemri",100000,(IF(K24="Nurgle",100000,"")))))))</f>
      </c>
      <c r="Y37" s="336"/>
      <c r="Z37" s="336"/>
      <c r="AA37" s="336"/>
      <c r="AB37" s="52">
        <f>IF(K24="Undead","gp",(IF(K24="Necromantic","gp",(IF(K24="Khemri","gp",(IF(K24="Nurgle","gp","")))))))</f>
      </c>
      <c r="AC37" s="329">
        <f>IF(K24="Undead",V37*X37,(IF(K24="Necromantic",V37*X37,(IF(K24="Khemri",V37*X37,(IF(K24="Nurgle",V37*X37,0)))))))</f>
        <v>0</v>
      </c>
      <c r="AD37" s="330"/>
      <c r="AE37" s="193"/>
    </row>
    <row r="38" spans="2:31" ht="18" customHeight="1">
      <c r="B38" s="187"/>
      <c r="C38" s="86"/>
      <c r="D38" s="324">
        <f>IF(E38&lt;&gt;"",IF(K38&lt;&gt;"",MacroLega!AD8+50000,MacroLega!AD8),"")</f>
      </c>
      <c r="E38" s="8">
        <f>IF(MacroLega!Y8&lt;=1,"",VLOOKUP(MacroLega!Y8,MacroLega!$AP:$AQ,2,FALSE))</f>
      </c>
      <c r="F38" s="189">
        <f>IF(E38&lt;&gt;"",VLOOKUP(E38,MacroLega!$AG:$AM,2,FALSE),"")</f>
      </c>
      <c r="G38" s="189">
        <f>IF(E38&lt;&gt;"",VLOOKUP(E38,MacroLega!$AG:$AM,3,FALSE),"")</f>
      </c>
      <c r="H38" s="189">
        <f>IF(E38&lt;&gt;"",VLOOKUP(E38,MacroLega!$AG:$AM,4,FALSE),"")</f>
      </c>
      <c r="I38" s="189">
        <f>IF(E38&lt;&gt;"",VLOOKUP(E38,MacroLega!$AG:$AM,5,FALSE),"")</f>
      </c>
      <c r="J38" s="14">
        <f>IF(E38="","",VLOOKUP(E38,MacroLega!$AG:$AM,6,FALSE))</f>
      </c>
      <c r="K38" s="10"/>
      <c r="L38" s="196"/>
      <c r="M38" s="194"/>
      <c r="N38" s="194"/>
      <c r="O38" s="194"/>
      <c r="P38" s="194"/>
      <c r="Q38" s="194"/>
      <c r="R38" s="194"/>
      <c r="S38" s="194"/>
      <c r="T38" s="194"/>
      <c r="U38" s="197" t="str">
        <f>IF(K24="Undead","",(IF(K24="Necromantic","",(IF(K24="Khemri","",(IF(K24="Nurgle","","WANDERING APOTHECARIES [0-2]")))))))</f>
        <v>WANDERING APOTHECARIES [0-2]</v>
      </c>
      <c r="V38" s="7">
        <v>0</v>
      </c>
      <c r="W38" s="198" t="str">
        <f>IF(K24="Undead","",(IF(K24="Necromantic","",(IF(K24="Khemri","",(IF(K24="Nurgle","","x")))))))</f>
        <v>x</v>
      </c>
      <c r="X38" s="328">
        <f>IF(K24="Undead","",(IF(K24="Necromantic","",(IF(K24="Khemri","",(IF(K24="Nurgle","",100000)))))))</f>
        <v>100000</v>
      </c>
      <c r="Y38" s="328"/>
      <c r="Z38" s="328"/>
      <c r="AA38" s="328"/>
      <c r="AB38" s="199" t="str">
        <f>IF(K24="Undead","",(IF(K24="Necromantic","",(IF(K24="Khemri","",(IF(K24="Nurgle","","gp")))))))</f>
        <v>gp</v>
      </c>
      <c r="AC38" s="329">
        <f>IF(K24="Undead",0,(IF(K24="Necromantic",0,(IF(K24="Khemri",0,(IF(K24="Nurgle",0,V38*X38)))))))</f>
        <v>0</v>
      </c>
      <c r="AD38" s="330"/>
      <c r="AE38" s="193"/>
    </row>
    <row r="39" spans="2:31" ht="18" customHeight="1" thickBot="1">
      <c r="B39" s="187"/>
      <c r="C39" s="86"/>
      <c r="D39" s="324">
        <f>IF(E39&lt;&gt;"",IF(K39&lt;&gt;"",MacroLega!AD9+50000,MacroLega!AD9),"")</f>
      </c>
      <c r="E39" s="8">
        <f>IF(MacroLega!Y9&lt;=1,"",VLOOKUP(MacroLega!Y9,MacroLega!$AP:$AQ,2,FALSE))</f>
      </c>
      <c r="F39" s="189">
        <f>IF(E39&lt;&gt;"",VLOOKUP(E39,MacroLega!$AG:$AM,2,FALSE),"")</f>
      </c>
      <c r="G39" s="189">
        <f>IF(E39&lt;&gt;"",VLOOKUP(E39,MacroLega!$AG:$AM,3,FALSE),"")</f>
      </c>
      <c r="H39" s="189">
        <f>IF(E39&lt;&gt;"",VLOOKUP(E39,MacroLega!$AG:$AM,4,FALSE),"")</f>
      </c>
      <c r="I39" s="189">
        <f>IF(E39&lt;&gt;"",VLOOKUP(E39,MacroLega!$AG:$AM,5,FALSE),"")</f>
      </c>
      <c r="J39" s="14">
        <f>IF(E39="","",VLOOKUP(E39,MacroLega!$AG:$AM,6,FALSE))</f>
      </c>
      <c r="K39" s="10"/>
      <c r="L39" s="200"/>
      <c r="M39" s="65"/>
      <c r="N39" s="65"/>
      <c r="O39" s="65"/>
      <c r="P39" s="65"/>
      <c r="Q39" s="65"/>
      <c r="R39" s="65"/>
      <c r="S39" s="65"/>
      <c r="T39" s="65"/>
      <c r="U39" s="201" t="s">
        <v>668</v>
      </c>
      <c r="V39" s="202">
        <v>0</v>
      </c>
      <c r="W39" s="203" t="str">
        <f>IF(K35="Undead","",(IF(K35="Necromantic","",(IF(K35="Khemri","",(IF(K35="Nurgle","","x")))))))</f>
        <v>x</v>
      </c>
      <c r="X39" s="331">
        <v>150000</v>
      </c>
      <c r="Y39" s="331"/>
      <c r="Z39" s="331"/>
      <c r="AA39" s="331"/>
      <c r="AB39" s="204" t="str">
        <f>IF(K35="Undead","",(IF(K35="Necromantic","",(IF(K35="Khemri","",(IF(K35="Nurgle",""," gp")))))))</f>
        <v> gp</v>
      </c>
      <c r="AC39" s="332">
        <f t="shared" si="2"/>
        <v>0</v>
      </c>
      <c r="AD39" s="333"/>
      <c r="AE39" s="193"/>
    </row>
    <row r="40" spans="2:31" ht="18" customHeight="1" thickBot="1">
      <c r="B40" s="187"/>
      <c r="C40" s="205"/>
      <c r="D40" s="325">
        <f>IF(E40&lt;&gt;"",IF(K40&lt;&gt;"",MacroLega!AD10+50000,MacroLega!AD10),"")</f>
      </c>
      <c r="E40" s="206">
        <f>IF(MacroLega!Y10&lt;=1,"",VLOOKUP(MacroLega!Y10,MacroLega!$AP:$AQ,2,FALSE))</f>
      </c>
      <c r="F40" s="207">
        <f>IF(E40&lt;&gt;"",VLOOKUP(E40,MacroLega!$AG:$AM,2,FALSE),"")</f>
      </c>
      <c r="G40" s="207">
        <f>IF(E40&lt;&gt;"",VLOOKUP(E40,MacroLega!$AG:$AM,3,FALSE),"")</f>
      </c>
      <c r="H40" s="207">
        <f>IF(E40&lt;&gt;"",VLOOKUP(E40,MacroLega!$AG:$AM,4,FALSE),"")</f>
      </c>
      <c r="I40" s="207">
        <f>IF(E40&lt;&gt;"",VLOOKUP(E40,MacroLega!$AG:$AM,5,FALSE),"")</f>
      </c>
      <c r="J40" s="208">
        <f>IF(E40="","",VLOOKUP(E40,MacroLega!$AG:$AM,6,FALSE))</f>
      </c>
      <c r="K40" s="209"/>
      <c r="L40" s="59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58" t="s">
        <v>669</v>
      </c>
      <c r="AC40" s="334">
        <f>SUM(AC33:AC39)+SUM(D33:D40)</f>
        <v>0</v>
      </c>
      <c r="AD40" s="335"/>
      <c r="AE40" s="193"/>
    </row>
    <row r="41" spans="2:31" ht="9" customHeight="1" thickBot="1">
      <c r="B41" s="210"/>
      <c r="C41" s="211"/>
      <c r="D41" s="211"/>
      <c r="E41" s="212"/>
      <c r="F41" s="211"/>
      <c r="G41" s="211"/>
      <c r="H41" s="211"/>
      <c r="I41" s="211"/>
      <c r="J41" s="211"/>
      <c r="K41" s="211"/>
      <c r="L41" s="211"/>
      <c r="M41" s="211"/>
      <c r="N41" s="211"/>
      <c r="O41" s="213"/>
      <c r="P41" s="214"/>
      <c r="Q41" s="214"/>
      <c r="R41" s="214"/>
      <c r="S41" s="214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5"/>
    </row>
    <row r="42" ht="8.25" customHeight="1"/>
    <row r="43" ht="21" customHeight="1" hidden="1"/>
    <row r="44" ht="21" customHeight="1" hidden="1"/>
    <row r="45" ht="21" customHeight="1" hidden="1"/>
    <row r="46" ht="21" customHeight="1" hidden="1"/>
    <row r="47" ht="21" customHeight="1" hidden="1"/>
    <row r="48" ht="21" customHeight="1" hidden="1"/>
    <row r="49" ht="21" customHeight="1" hidden="1"/>
    <row r="50" ht="21" customHeight="1" hidden="1"/>
    <row r="51" ht="21" customHeight="1" hidden="1"/>
    <row r="52" ht="21" customHeight="1" hidden="1"/>
    <row r="53" ht="21" customHeight="1" hidden="1"/>
    <row r="54" ht="21" customHeight="1" hidden="1"/>
    <row r="55" ht="21" customHeight="1" hidden="1"/>
    <row r="56" ht="21" customHeight="1" hidden="1"/>
    <row r="57" ht="21" customHeight="1" hidden="1"/>
    <row r="58" ht="21" customHeight="1" hidden="1"/>
    <row r="59" ht="21" customHeight="1" hidden="1"/>
    <row r="60" ht="21" customHeight="1" hidden="1"/>
    <row r="61" ht="21" customHeight="1" hidden="1"/>
    <row r="62" ht="21" customHeight="1" hidden="1"/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  <row r="165" ht="21" customHeight="1" hidden="1"/>
    <row r="166" ht="21" customHeight="1" hidden="1"/>
    <row r="167" ht="21" customHeight="1" hidden="1"/>
    <row r="168" ht="21" customHeight="1" hidden="1"/>
    <row r="169" ht="21" customHeight="1" hidden="1"/>
    <row r="170" ht="21" customHeight="1" hidden="1"/>
    <row r="171" ht="21" customHeight="1" hidden="1"/>
    <row r="172" ht="21" customHeight="1" hidden="1"/>
    <row r="173" ht="21" customHeight="1" hidden="1"/>
    <row r="174" ht="21" customHeight="1" hidden="1"/>
    <row r="175" ht="21" customHeight="1" hidden="1"/>
    <row r="176" ht="21" customHeight="1" hidden="1"/>
    <row r="177" ht="21" customHeight="1" hidden="1"/>
    <row r="178" ht="21" customHeight="1" hidden="1"/>
    <row r="179" ht="21" customHeight="1" hidden="1"/>
    <row r="180" ht="21" customHeight="1" hidden="1"/>
    <row r="181" ht="21" customHeight="1" hidden="1"/>
    <row r="182" ht="21" customHeight="1" hidden="1"/>
    <row r="183" ht="21" customHeight="1" hidden="1"/>
    <row r="184" ht="21" customHeight="1" hidden="1"/>
    <row r="185" ht="21" customHeight="1" hidden="1"/>
    <row r="186" ht="21" customHeight="1" hidden="1"/>
    <row r="187" ht="21" customHeight="1" hidden="1"/>
    <row r="188" ht="21" customHeight="1" hidden="1"/>
    <row r="189" ht="21" customHeight="1" hidden="1"/>
    <row r="190" ht="21" customHeight="1" hidden="1"/>
    <row r="191" ht="21" customHeight="1" hidden="1"/>
    <row r="192" ht="21" customHeight="1" hidden="1"/>
    <row r="193" ht="21" customHeight="1" hidden="1"/>
    <row r="194" ht="21" customHeight="1" hidden="1"/>
    <row r="195" ht="21" customHeight="1" hidden="1"/>
    <row r="196" ht="21" customHeight="1" hidden="1"/>
    <row r="197" ht="21" customHeight="1" hidden="1"/>
    <row r="198" ht="21" customHeight="1" hidden="1"/>
    <row r="199" ht="21" customHeight="1" hidden="1"/>
    <row r="200" ht="21" customHeight="1" hidden="1"/>
    <row r="201" ht="21" customHeight="1" hidden="1"/>
    <row r="202" ht="21" customHeight="1" hidden="1"/>
    <row r="203" ht="21" customHeight="1" hidden="1"/>
    <row r="204" ht="21" customHeight="1" hidden="1"/>
    <row r="205" ht="21" customHeight="1" hidden="1"/>
    <row r="206" ht="21" customHeight="1" hidden="1"/>
    <row r="207" ht="21" customHeight="1" hidden="1"/>
    <row r="208" ht="21" customHeight="1" hidden="1"/>
    <row r="209" ht="21" customHeight="1" hidden="1"/>
    <row r="210" ht="21" customHeight="1" hidden="1"/>
    <row r="211" ht="21" customHeight="1" hidden="1"/>
    <row r="212" ht="21" customHeight="1" hidden="1"/>
    <row r="213" ht="21" customHeight="1" hidden="1"/>
    <row r="214" ht="21" customHeight="1" hidden="1"/>
    <row r="215" ht="21" customHeight="1" hidden="1"/>
    <row r="216" ht="21" customHeight="1" hidden="1"/>
    <row r="217" ht="21" customHeight="1" hidden="1"/>
    <row r="218" ht="21" customHeight="1" hidden="1"/>
    <row r="219" ht="21" customHeight="1" hidden="1"/>
    <row r="220" ht="21" customHeight="1" hidden="1"/>
    <row r="221" ht="21" customHeight="1" hidden="1"/>
    <row r="222" ht="21" customHeight="1" hidden="1"/>
    <row r="223" ht="21" customHeight="1" hidden="1"/>
    <row r="224" ht="21" customHeight="1" hidden="1"/>
    <row r="225" ht="21" customHeight="1" hidden="1"/>
    <row r="226" ht="21" customHeight="1" hidden="1"/>
    <row r="227" ht="21" customHeight="1" hidden="1"/>
    <row r="228" ht="21" customHeight="1" hidden="1"/>
    <row r="229" ht="21" customHeight="1" hidden="1"/>
    <row r="230" ht="21" customHeight="1" hidden="1"/>
    <row r="231" ht="21" customHeight="1" hidden="1"/>
    <row r="232" ht="21" customHeight="1" hidden="1"/>
    <row r="233" ht="21" customHeight="1" hidden="1"/>
    <row r="234" ht="21" customHeight="1" hidden="1"/>
  </sheetData>
  <sheetProtection password="B606" sheet="1" objects="1" scenarios="1"/>
  <mergeCells count="46">
    <mergeCell ref="X25:AA25"/>
    <mergeCell ref="C25:D25"/>
    <mergeCell ref="C26:D26"/>
    <mergeCell ref="C27:D27"/>
    <mergeCell ref="C28:D28"/>
    <mergeCell ref="F27:I27"/>
    <mergeCell ref="AC28:AD28"/>
    <mergeCell ref="F26:I26"/>
    <mergeCell ref="C21:D21"/>
    <mergeCell ref="C22:D22"/>
    <mergeCell ref="C23:D23"/>
    <mergeCell ref="C24:D24"/>
    <mergeCell ref="X26:AA26"/>
    <mergeCell ref="X22:AA22"/>
    <mergeCell ref="X23:AA23"/>
    <mergeCell ref="X24:AA24"/>
    <mergeCell ref="F28:I28"/>
    <mergeCell ref="F21:I21"/>
    <mergeCell ref="F22:I22"/>
    <mergeCell ref="F23:I23"/>
    <mergeCell ref="F24:I24"/>
    <mergeCell ref="F25:I25"/>
    <mergeCell ref="AC21:AD21"/>
    <mergeCell ref="AC26:AD26"/>
    <mergeCell ref="AC22:AD22"/>
    <mergeCell ref="AC23:AD23"/>
    <mergeCell ref="AC27:AD27"/>
    <mergeCell ref="AC25:AD25"/>
    <mergeCell ref="AC24:AD24"/>
    <mergeCell ref="AC37:AD37"/>
    <mergeCell ref="C32:K32"/>
    <mergeCell ref="L32:AD32"/>
    <mergeCell ref="X33:AA33"/>
    <mergeCell ref="AC33:AD33"/>
    <mergeCell ref="X34:AA34"/>
    <mergeCell ref="AC34:AD34"/>
    <mergeCell ref="X38:AA38"/>
    <mergeCell ref="AC38:AD38"/>
    <mergeCell ref="X39:AA39"/>
    <mergeCell ref="AC39:AD39"/>
    <mergeCell ref="AC40:AD40"/>
    <mergeCell ref="X35:AA35"/>
    <mergeCell ref="AC35:AD35"/>
    <mergeCell ref="X36:AA36"/>
    <mergeCell ref="AC36:AD36"/>
    <mergeCell ref="X37:AA37"/>
  </mergeCells>
  <conditionalFormatting sqref="L5:M20 J5:J20 V5:AA20">
    <cfRule type="cellIs" priority="23" dxfId="0" operator="equal" stopIfTrue="1">
      <formula>0</formula>
    </cfRule>
  </conditionalFormatting>
  <conditionalFormatting sqref="AB5:AC20">
    <cfRule type="cellIs" priority="24" dxfId="9" operator="equal" stopIfTrue="1">
      <formula>"Star"</formula>
    </cfRule>
  </conditionalFormatting>
  <conditionalFormatting sqref="R5:U20">
    <cfRule type="cellIs" priority="25" dxfId="8" operator="lessThanOrEqual" stopIfTrue="1">
      <formula>-1</formula>
    </cfRule>
  </conditionalFormatting>
  <conditionalFormatting sqref="N5:P20">
    <cfRule type="cellIs" priority="26" dxfId="7" operator="equal" stopIfTrue="1">
      <formula>"n/a"</formula>
    </cfRule>
  </conditionalFormatting>
  <conditionalFormatting sqref="J5:J20">
    <cfRule type="containsText" priority="19" dxfId="1" operator="containsText" stopIfTrue="1" text="ERRORE! TROPPI GIOCATORI IN QUESTO RUOLO!">
      <formula>NOT(ISERROR(SEARCH("ERRORE! TROPPI GIOCATORI IN QUESTO RUOLO!",J5)))</formula>
    </cfRule>
  </conditionalFormatting>
  <conditionalFormatting sqref="F5:I20">
    <cfRule type="cellIs" priority="27" dxfId="5" operator="greaterThanOrEqual" stopIfTrue="1">
      <formula>AO5+1</formula>
    </cfRule>
    <cfRule type="cellIs" priority="28" dxfId="4" operator="lessThanOrEqual" stopIfTrue="1">
      <formula>AO5-1</formula>
    </cfRule>
  </conditionalFormatting>
  <conditionalFormatting sqref="J33:J40">
    <cfRule type="cellIs" priority="4" dxfId="0" operator="equal" stopIfTrue="1">
      <formula>0</formula>
    </cfRule>
  </conditionalFormatting>
  <conditionalFormatting sqref="J33:J40">
    <cfRule type="containsText" priority="3" dxfId="1" operator="containsText" stopIfTrue="1" text="ERRORE! TROPPI GIOCATORI IN QUESTO RUOLO!">
      <formula>NOT(ISERROR(SEARCH("ERRORE! TROPPI GIOCATORI IN QUESTO RUOLO!",J33)))</formula>
    </cfRule>
  </conditionalFormatting>
  <conditionalFormatting sqref="K5:K20">
    <cfRule type="containsText" priority="2" dxfId="1" operator="containsText" stopIfTrue="1" text="ERRORE!">
      <formula>NOT(ISERROR(SEARCH("ERRORE!",K5)))</formula>
    </cfRule>
  </conditionalFormatting>
  <conditionalFormatting sqref="R5:U20">
    <cfRule type="cellIs" priority="1" dxfId="0" operator="equal" stopIfTrue="1">
      <formula>0</formula>
    </cfRule>
  </conditionalFormatting>
  <printOptions horizontalCentered="1" verticalCentered="1"/>
  <pageMargins left="0.2755905511811024" right="0.2755905511811024" top="0.1968503937007874" bottom="0.1968503937007874" header="0" footer="0"/>
  <pageSetup horizontalDpi="300" verticalDpi="300" orientation="landscape" paperSize="9" scale="78" r:id="rId4"/>
  <ignoredErrors>
    <ignoredError sqref="K5:K8 K11:K20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L243"/>
  <sheetViews>
    <sheetView zoomScale="70" zoomScaleNormal="70" zoomScalePageLayoutView="0" workbookViewId="0" topLeftCell="A1">
      <selection activeCell="G29" sqref="G27:G29"/>
    </sheetView>
  </sheetViews>
  <sheetFormatPr defaultColWidth="0" defaultRowHeight="18" customHeight="1"/>
  <cols>
    <col min="1" max="1" width="1.7109375" style="92" customWidth="1"/>
    <col min="2" max="7" width="32.7109375" style="93" customWidth="1"/>
    <col min="8" max="8" width="1.7109375" style="92" customWidth="1"/>
    <col min="9" max="9" width="3.7109375" style="93" customWidth="1"/>
    <col min="10" max="13" width="6.7109375" style="93" customWidth="1"/>
    <col min="14" max="14" width="8.7109375" style="93" customWidth="1"/>
    <col min="15" max="15" width="1.7109375" style="92" customWidth="1"/>
    <col min="16" max="16" width="3.7109375" style="97" customWidth="1"/>
    <col min="17" max="17" width="27.7109375" style="98" customWidth="1"/>
    <col min="18" max="21" width="3.7109375" style="99" customWidth="1"/>
    <col min="22" max="22" width="91.7109375" style="100" customWidth="1"/>
    <col min="23" max="23" width="8.7109375" style="101" customWidth="1"/>
    <col min="24" max="25" width="7.7109375" style="101" customWidth="1"/>
    <col min="26" max="26" width="4.7109375" style="101" customWidth="1"/>
    <col min="27" max="27" width="16.7109375" style="102" customWidth="1"/>
    <col min="28" max="28" width="3.7109375" style="147" customWidth="1"/>
    <col min="29" max="29" width="19.00390625" style="156" bestFit="1" customWidth="1"/>
    <col min="30" max="30" width="8.7109375" style="101" customWidth="1"/>
    <col min="31" max="31" width="19.00390625" style="102" bestFit="1" customWidth="1"/>
    <col min="32" max="32" width="9.421875" style="101" customWidth="1"/>
    <col min="33" max="33" width="1.7109375" style="102" customWidth="1"/>
    <col min="34" max="34" width="3.7109375" style="147" customWidth="1"/>
    <col min="35" max="35" width="27.7109375" style="101" customWidth="1"/>
    <col min="36" max="36" width="27.7109375" style="148" customWidth="1"/>
    <col min="37" max="37" width="1.7109375" style="102" customWidth="1"/>
    <col min="38" max="40" width="27.7109375" style="144" customWidth="1"/>
    <col min="41" max="42" width="27.7109375" style="149" customWidth="1"/>
    <col min="43" max="44" width="27.7109375" style="144" customWidth="1"/>
    <col min="45" max="45" width="27.7109375" style="149" customWidth="1"/>
    <col min="46" max="49" width="27.7109375" style="144" customWidth="1"/>
    <col min="50" max="50" width="27.7109375" style="93" customWidth="1"/>
    <col min="51" max="51" width="27.7109375" style="144" customWidth="1"/>
    <col min="52" max="52" width="27.7109375" style="93" customWidth="1"/>
    <col min="53" max="53" width="27.7109375" style="149" customWidth="1"/>
    <col min="54" max="57" width="27.7109375" style="93" customWidth="1"/>
    <col min="58" max="58" width="27.7109375" style="144" customWidth="1"/>
    <col min="59" max="60" width="27.7109375" style="93" customWidth="1"/>
    <col min="61" max="61" width="27.7109375" style="144" customWidth="1"/>
    <col min="62" max="62" width="27.7109375" style="93" customWidth="1"/>
    <col min="63" max="63" width="27.7109375" style="144" customWidth="1"/>
    <col min="64" max="64" width="9.421875" style="92" hidden="1" customWidth="1"/>
    <col min="65" max="67" width="0" style="92" hidden="1" customWidth="1"/>
    <col min="68" max="68" width="9.421875" style="92" hidden="1" customWidth="1"/>
    <col min="69" max="86" width="0" style="92" hidden="1" customWidth="1"/>
    <col min="87" max="87" width="9.421875" style="92" hidden="1" customWidth="1"/>
    <col min="88" max="90" width="0" style="92" hidden="1" customWidth="1"/>
    <col min="91" max="16384" width="9.421875" style="92" hidden="1" customWidth="1"/>
  </cols>
  <sheetData>
    <row r="1" spans="8:64" ht="18" customHeight="1">
      <c r="H1" s="94"/>
      <c r="I1" s="95"/>
      <c r="J1" s="95"/>
      <c r="K1" s="95"/>
      <c r="L1" s="95"/>
      <c r="M1" s="95"/>
      <c r="N1" s="95"/>
      <c r="O1" s="96"/>
      <c r="AB1" s="103"/>
      <c r="AC1" s="104" t="s">
        <v>622</v>
      </c>
      <c r="AD1" s="104" t="s">
        <v>624</v>
      </c>
      <c r="AE1" s="104" t="s">
        <v>622</v>
      </c>
      <c r="AF1" s="104" t="s">
        <v>623</v>
      </c>
      <c r="AG1" s="105"/>
      <c r="AH1" s="106">
        <v>1</v>
      </c>
      <c r="AI1" s="107"/>
      <c r="AJ1" s="108"/>
      <c r="AK1" s="105"/>
      <c r="AL1" s="109"/>
      <c r="AM1" s="109"/>
      <c r="AN1" s="109"/>
      <c r="AO1" s="110"/>
      <c r="AP1" s="110"/>
      <c r="AQ1" s="109"/>
      <c r="AR1" s="109"/>
      <c r="AS1" s="110"/>
      <c r="AT1" s="109"/>
      <c r="AU1" s="109"/>
      <c r="AV1" s="109"/>
      <c r="AW1" s="109"/>
      <c r="AX1" s="110"/>
      <c r="AY1" s="109"/>
      <c r="AZ1" s="110"/>
      <c r="BA1" s="110"/>
      <c r="BB1" s="110"/>
      <c r="BC1" s="110"/>
      <c r="BD1" s="110"/>
      <c r="BE1" s="110"/>
      <c r="BF1" s="109"/>
      <c r="BG1" s="110"/>
      <c r="BH1" s="110"/>
      <c r="BI1" s="109"/>
      <c r="BJ1" s="110"/>
      <c r="BK1" s="109"/>
      <c r="BL1" s="111"/>
    </row>
    <row r="2" spans="2:64" ht="18" customHeight="1">
      <c r="B2" s="112" t="s">
        <v>161</v>
      </c>
      <c r="C2" s="112" t="s">
        <v>162</v>
      </c>
      <c r="D2" s="112" t="s">
        <v>163</v>
      </c>
      <c r="E2" s="112" t="s">
        <v>164</v>
      </c>
      <c r="F2" s="112" t="s">
        <v>165</v>
      </c>
      <c r="G2" s="112" t="s">
        <v>306</v>
      </c>
      <c r="H2" s="94"/>
      <c r="I2" s="95"/>
      <c r="J2" s="113" t="s">
        <v>19</v>
      </c>
      <c r="K2" s="113" t="s">
        <v>20</v>
      </c>
      <c r="L2" s="113" t="s">
        <v>21</v>
      </c>
      <c r="M2" s="113" t="s">
        <v>14</v>
      </c>
      <c r="N2" s="114"/>
      <c r="O2" s="115"/>
      <c r="P2" s="116">
        <v>1</v>
      </c>
      <c r="Q2" s="117" t="s">
        <v>621</v>
      </c>
      <c r="R2" s="118" t="s">
        <v>19</v>
      </c>
      <c r="S2" s="118" t="s">
        <v>20</v>
      </c>
      <c r="T2" s="118" t="s">
        <v>21</v>
      </c>
      <c r="U2" s="118" t="s">
        <v>154</v>
      </c>
      <c r="V2" s="314" t="s">
        <v>620</v>
      </c>
      <c r="W2" s="104" t="s">
        <v>458</v>
      </c>
      <c r="X2" s="104" t="s">
        <v>619</v>
      </c>
      <c r="Y2" s="104" t="s">
        <v>618</v>
      </c>
      <c r="Z2" s="104" t="s">
        <v>617</v>
      </c>
      <c r="AA2" s="104" t="s">
        <v>622</v>
      </c>
      <c r="AB2" s="103">
        <v>1</v>
      </c>
      <c r="AC2" s="120" t="s">
        <v>63</v>
      </c>
      <c r="AD2" s="121">
        <v>50000</v>
      </c>
      <c r="AE2" s="120" t="s">
        <v>63</v>
      </c>
      <c r="AF2" s="121">
        <v>1</v>
      </c>
      <c r="AG2" s="105"/>
      <c r="AH2" s="106">
        <f>IF(AI2="","",AH1+1)</f>
        <v>2</v>
      </c>
      <c r="AI2" s="107" t="str">
        <f>IF(AJ2=0,"",AJ2)</f>
        <v>Tribal Linewoman</v>
      </c>
      <c r="AJ2" s="108" t="str">
        <f>HLOOKUP('Luccini 2019'!K$24,AL$2:BK$24,2,FALSE)</f>
        <v>Tribal Linewoman</v>
      </c>
      <c r="AK2" s="105"/>
      <c r="AL2" s="122" t="s">
        <v>63</v>
      </c>
      <c r="AM2" s="122" t="s">
        <v>472</v>
      </c>
      <c r="AN2" s="123" t="s">
        <v>504</v>
      </c>
      <c r="AO2" s="123" t="s">
        <v>69</v>
      </c>
      <c r="AP2" s="123" t="s">
        <v>497</v>
      </c>
      <c r="AQ2" s="123" t="s">
        <v>74</v>
      </c>
      <c r="AR2" s="123" t="s">
        <v>468</v>
      </c>
      <c r="AS2" s="123" t="s">
        <v>81</v>
      </c>
      <c r="AT2" s="122" t="s">
        <v>540</v>
      </c>
      <c r="AU2" s="123" t="s">
        <v>27</v>
      </c>
      <c r="AV2" s="123" t="s">
        <v>29</v>
      </c>
      <c r="AW2" s="123" t="s">
        <v>98</v>
      </c>
      <c r="AX2" s="123" t="s">
        <v>101</v>
      </c>
      <c r="AY2" s="122" t="s">
        <v>509</v>
      </c>
      <c r="AZ2" s="122" t="s">
        <v>111</v>
      </c>
      <c r="BA2" s="122" t="s">
        <v>520</v>
      </c>
      <c r="BB2" s="123" t="s">
        <v>30</v>
      </c>
      <c r="BC2" s="122" t="s">
        <v>39</v>
      </c>
      <c r="BD2" s="122" t="s">
        <v>38</v>
      </c>
      <c r="BE2" s="122" t="s">
        <v>134</v>
      </c>
      <c r="BF2" s="122" t="s">
        <v>521</v>
      </c>
      <c r="BG2" s="123" t="s">
        <v>31</v>
      </c>
      <c r="BH2" s="122" t="s">
        <v>297</v>
      </c>
      <c r="BI2" s="122" t="s">
        <v>305</v>
      </c>
      <c r="BJ2" s="122" t="s">
        <v>25</v>
      </c>
      <c r="BK2" s="123" t="s">
        <v>144</v>
      </c>
      <c r="BL2" s="94"/>
    </row>
    <row r="3" spans="2:64" ht="18" customHeight="1">
      <c r="B3" s="93" t="s">
        <v>166</v>
      </c>
      <c r="C3" s="93" t="s">
        <v>180</v>
      </c>
      <c r="D3" s="93" t="s">
        <v>190</v>
      </c>
      <c r="E3" s="93" t="s">
        <v>205</v>
      </c>
      <c r="F3" s="93" t="s">
        <v>209</v>
      </c>
      <c r="G3" s="93" t="s">
        <v>268</v>
      </c>
      <c r="H3" s="96"/>
      <c r="I3" s="95">
        <v>1</v>
      </c>
      <c r="J3" s="114" t="e">
        <f>VLOOKUP('Luccini 2019'!E5,$Q:$Z,2,FALSE)</f>
        <v>#N/A</v>
      </c>
      <c r="K3" s="114" t="e">
        <f>VLOOKUP('Luccini 2019'!E5,$Q:$Z,3,FALSE)</f>
        <v>#N/A</v>
      </c>
      <c r="L3" s="114" t="e">
        <f>VLOOKUP('Luccini 2019'!E5,$Q:$Z,4,FALSE)</f>
        <v>#N/A</v>
      </c>
      <c r="M3" s="114" t="e">
        <f>VLOOKUP('Luccini 2019'!E5,$Q:$Z,5,FALSE)</f>
        <v>#N/A</v>
      </c>
      <c r="N3" s="121">
        <f>(IF('Luccini 2019'!E5&lt;&gt;"",VLOOKUP('Luccini 2019'!E5,Q:Z,7,FALSE),"0")+('Luccini 2019'!Q5*1000))</f>
        <v>0</v>
      </c>
      <c r="O3" s="124"/>
      <c r="P3" s="116">
        <v>2</v>
      </c>
      <c r="Q3" s="125" t="s">
        <v>490</v>
      </c>
      <c r="R3" s="126">
        <v>6</v>
      </c>
      <c r="S3" s="126">
        <v>3</v>
      </c>
      <c r="T3" s="126">
        <v>3</v>
      </c>
      <c r="U3" s="126">
        <v>7</v>
      </c>
      <c r="V3" s="127" t="s">
        <v>59</v>
      </c>
      <c r="W3" s="128">
        <v>50000</v>
      </c>
      <c r="X3" s="128" t="s">
        <v>13</v>
      </c>
      <c r="Y3" s="128" t="s">
        <v>55</v>
      </c>
      <c r="Z3" s="128">
        <v>16</v>
      </c>
      <c r="AA3" s="375" t="s">
        <v>63</v>
      </c>
      <c r="AB3" s="103">
        <v>2</v>
      </c>
      <c r="AC3" s="120" t="s">
        <v>472</v>
      </c>
      <c r="AD3" s="121">
        <v>70000</v>
      </c>
      <c r="AE3" s="120" t="s">
        <v>472</v>
      </c>
      <c r="AF3" s="121">
        <v>1</v>
      </c>
      <c r="AG3" s="105"/>
      <c r="AH3" s="106">
        <f aca="true" t="shared" si="0" ref="AH3:AH23">IF(AI3="","",AH2+1)</f>
        <v>3</v>
      </c>
      <c r="AI3" s="107" t="str">
        <f aca="true" t="shared" si="1" ref="AI3:AI23">IF(AJ3=0,"",AJ3)</f>
        <v>Eagle Warrior Thrower</v>
      </c>
      <c r="AJ3" s="108" t="str">
        <f>HLOOKUP('Luccini 2019'!K$24,AL$2:BK$24,3,FALSE)</f>
        <v>Eagle Warrior Thrower</v>
      </c>
      <c r="AK3" s="105"/>
      <c r="AL3" s="129" t="s">
        <v>490</v>
      </c>
      <c r="AM3" s="129" t="s">
        <v>565</v>
      </c>
      <c r="AN3" s="98" t="s">
        <v>505</v>
      </c>
      <c r="AO3" s="98" t="s">
        <v>494</v>
      </c>
      <c r="AP3" s="98" t="s">
        <v>498</v>
      </c>
      <c r="AQ3" s="129" t="s">
        <v>533</v>
      </c>
      <c r="AR3" s="129" t="s">
        <v>460</v>
      </c>
      <c r="AS3" s="98" t="s">
        <v>538</v>
      </c>
      <c r="AT3" s="129" t="s">
        <v>541</v>
      </c>
      <c r="AU3" s="129" t="s">
        <v>27</v>
      </c>
      <c r="AV3" s="98" t="s">
        <v>508</v>
      </c>
      <c r="AW3" s="129" t="s">
        <v>551</v>
      </c>
      <c r="AX3" s="129" t="s">
        <v>545</v>
      </c>
      <c r="AY3" s="129" t="s">
        <v>510</v>
      </c>
      <c r="AZ3" s="129" t="s">
        <v>513</v>
      </c>
      <c r="BA3" s="129" t="s">
        <v>114</v>
      </c>
      <c r="BB3" s="98" t="s">
        <v>515</v>
      </c>
      <c r="BC3" s="129" t="s">
        <v>124</v>
      </c>
      <c r="BD3" s="129" t="s">
        <v>525</v>
      </c>
      <c r="BE3" s="129" t="s">
        <v>555</v>
      </c>
      <c r="BF3" s="129" t="s">
        <v>510</v>
      </c>
      <c r="BG3" s="129" t="s">
        <v>558</v>
      </c>
      <c r="BH3" s="129" t="s">
        <v>562</v>
      </c>
      <c r="BI3" s="129" t="s">
        <v>526</v>
      </c>
      <c r="BJ3" s="129" t="s">
        <v>531</v>
      </c>
      <c r="BK3" s="129" t="s">
        <v>567</v>
      </c>
      <c r="BL3" s="111"/>
    </row>
    <row r="4" spans="2:64" ht="18" customHeight="1">
      <c r="B4" s="93" t="s">
        <v>167</v>
      </c>
      <c r="C4" s="93" t="s">
        <v>181</v>
      </c>
      <c r="D4" s="93" t="s">
        <v>193</v>
      </c>
      <c r="E4" s="93" t="s">
        <v>202</v>
      </c>
      <c r="F4" s="93" t="s">
        <v>214</v>
      </c>
      <c r="G4" s="93" t="s">
        <v>293</v>
      </c>
      <c r="H4" s="96"/>
      <c r="I4" s="95">
        <v>1</v>
      </c>
      <c r="J4" s="114" t="e">
        <f>VLOOKUP('Luccini 2019'!E6,$Q:$Z,2,FALSE)</f>
        <v>#N/A</v>
      </c>
      <c r="K4" s="114" t="e">
        <f>VLOOKUP('Luccini 2019'!E6,$Q:$Z,3,FALSE)</f>
        <v>#N/A</v>
      </c>
      <c r="L4" s="114" t="e">
        <f>VLOOKUP('Luccini 2019'!E6,$Q:$Z,4,FALSE)</f>
        <v>#N/A</v>
      </c>
      <c r="M4" s="114" t="e">
        <f>VLOOKUP('Luccini 2019'!E6,$Q:$Z,5,FALSE)</f>
        <v>#N/A</v>
      </c>
      <c r="N4" s="121">
        <f>(IF('Luccini 2019'!E6&lt;&gt;"",VLOOKUP('Luccini 2019'!E6,Q:Z,7,FALSE),"0")+('Luccini 2019'!Q6*1000))</f>
        <v>0</v>
      </c>
      <c r="O4" s="124"/>
      <c r="P4" s="116">
        <v>3</v>
      </c>
      <c r="Q4" s="129" t="s">
        <v>491</v>
      </c>
      <c r="R4" s="130">
        <v>6</v>
      </c>
      <c r="S4" s="130">
        <v>3</v>
      </c>
      <c r="T4" s="130">
        <v>3</v>
      </c>
      <c r="U4" s="130">
        <v>7</v>
      </c>
      <c r="V4" s="119" t="s">
        <v>60</v>
      </c>
      <c r="W4" s="121">
        <v>70000</v>
      </c>
      <c r="X4" s="121" t="s">
        <v>52</v>
      </c>
      <c r="Y4" s="121" t="s">
        <v>56</v>
      </c>
      <c r="Z4" s="121">
        <v>2</v>
      </c>
      <c r="AA4" s="376"/>
      <c r="AB4" s="103">
        <v>3</v>
      </c>
      <c r="AC4" s="131" t="s">
        <v>504</v>
      </c>
      <c r="AD4" s="121">
        <v>60000</v>
      </c>
      <c r="AE4" s="131" t="s">
        <v>504</v>
      </c>
      <c r="AF4" s="121">
        <v>1</v>
      </c>
      <c r="AG4" s="105"/>
      <c r="AH4" s="106">
        <f t="shared" si="0"/>
        <v>4</v>
      </c>
      <c r="AI4" s="107" t="str">
        <f t="shared" si="1"/>
        <v>Piranha Warrior Catcher</v>
      </c>
      <c r="AJ4" s="108" t="str">
        <f>HLOOKUP('Luccini 2019'!K$24,AL$2:BK$24,4,FALSE)</f>
        <v>Piranha Warrior Catcher</v>
      </c>
      <c r="AK4" s="105"/>
      <c r="AL4" s="129" t="s">
        <v>491</v>
      </c>
      <c r="AM4" s="129" t="s">
        <v>566</v>
      </c>
      <c r="AN4" s="98" t="s">
        <v>506</v>
      </c>
      <c r="AO4" s="98" t="s">
        <v>70</v>
      </c>
      <c r="AP4" s="98" t="s">
        <v>499</v>
      </c>
      <c r="AQ4" s="129" t="s">
        <v>534</v>
      </c>
      <c r="AR4" s="129" t="s">
        <v>461</v>
      </c>
      <c r="AS4" s="98" t="s">
        <v>537</v>
      </c>
      <c r="AT4" s="129" t="s">
        <v>542</v>
      </c>
      <c r="AU4" s="129" t="s">
        <v>507</v>
      </c>
      <c r="AV4" s="129" t="s">
        <v>97</v>
      </c>
      <c r="AW4" s="129" t="s">
        <v>553</v>
      </c>
      <c r="AX4" s="129" t="s">
        <v>546</v>
      </c>
      <c r="AY4" s="129" t="s">
        <v>511</v>
      </c>
      <c r="AZ4" s="129" t="s">
        <v>514</v>
      </c>
      <c r="BA4" s="129" t="s">
        <v>523</v>
      </c>
      <c r="BB4" s="98" t="s">
        <v>516</v>
      </c>
      <c r="BC4" s="129" t="s">
        <v>125</v>
      </c>
      <c r="BD4" s="129" t="s">
        <v>132</v>
      </c>
      <c r="BE4" s="129" t="s">
        <v>374</v>
      </c>
      <c r="BF4" s="98" t="s">
        <v>114</v>
      </c>
      <c r="BG4" s="129" t="s">
        <v>559</v>
      </c>
      <c r="BH4" s="129" t="s">
        <v>563</v>
      </c>
      <c r="BI4" s="98" t="s">
        <v>527</v>
      </c>
      <c r="BJ4" s="129" t="s">
        <v>532</v>
      </c>
      <c r="BK4" s="129" t="s">
        <v>568</v>
      </c>
      <c r="BL4" s="111"/>
    </row>
    <row r="5" spans="2:64" ht="18" customHeight="1">
      <c r="B5" s="93" t="s">
        <v>168</v>
      </c>
      <c r="C5" s="93" t="s">
        <v>182</v>
      </c>
      <c r="D5" s="93" t="s">
        <v>191</v>
      </c>
      <c r="E5" s="93" t="s">
        <v>200</v>
      </c>
      <c r="F5" s="93" t="s">
        <v>208</v>
      </c>
      <c r="G5" s="93" t="s">
        <v>269</v>
      </c>
      <c r="H5" s="96"/>
      <c r="I5" s="95">
        <v>1</v>
      </c>
      <c r="J5" s="114" t="e">
        <f>VLOOKUP('Luccini 2019'!E7,$Q:$Z,2,FALSE)</f>
        <v>#N/A</v>
      </c>
      <c r="K5" s="114" t="e">
        <f>VLOOKUP('Luccini 2019'!E7,$Q:$Z,3,FALSE)</f>
        <v>#N/A</v>
      </c>
      <c r="L5" s="114" t="e">
        <f>VLOOKUP('Luccini 2019'!E7,$Q:$Z,4,FALSE)</f>
        <v>#N/A</v>
      </c>
      <c r="M5" s="114" t="e">
        <f>VLOOKUP('Luccini 2019'!E7,$Q:$Z,5,FALSE)</f>
        <v>#N/A</v>
      </c>
      <c r="N5" s="121">
        <f>(IF('Luccini 2019'!E7&lt;&gt;"",VLOOKUP('Luccini 2019'!E7,Q:Z,7,FALSE),"0")+('Luccini 2019'!Q7*1000))</f>
        <v>0</v>
      </c>
      <c r="O5" s="124"/>
      <c r="P5" s="116">
        <v>4</v>
      </c>
      <c r="Q5" s="129" t="s">
        <v>492</v>
      </c>
      <c r="R5" s="130">
        <v>6</v>
      </c>
      <c r="S5" s="130">
        <v>3</v>
      </c>
      <c r="T5" s="130">
        <v>3</v>
      </c>
      <c r="U5" s="130">
        <v>7</v>
      </c>
      <c r="V5" s="119" t="s">
        <v>61</v>
      </c>
      <c r="W5" s="121">
        <v>70000</v>
      </c>
      <c r="X5" s="121" t="s">
        <v>54</v>
      </c>
      <c r="Y5" s="121" t="s">
        <v>57</v>
      </c>
      <c r="Z5" s="121">
        <v>2</v>
      </c>
      <c r="AA5" s="376"/>
      <c r="AB5" s="103">
        <v>4</v>
      </c>
      <c r="AC5" s="131" t="s">
        <v>69</v>
      </c>
      <c r="AD5" s="121">
        <v>70000</v>
      </c>
      <c r="AE5" s="131" t="s">
        <v>69</v>
      </c>
      <c r="AF5" s="121">
        <v>1</v>
      </c>
      <c r="AG5" s="105"/>
      <c r="AH5" s="106">
        <f t="shared" si="0"/>
        <v>5</v>
      </c>
      <c r="AI5" s="107" t="str">
        <f t="shared" si="1"/>
        <v>Koka Kalim Blitzers</v>
      </c>
      <c r="AJ5" s="108" t="str">
        <f>HLOOKUP('Luccini 2019'!K$24,AL$2:BK$24,5,FALSE)</f>
        <v>Koka Kalim Blitzers</v>
      </c>
      <c r="AK5" s="105"/>
      <c r="AL5" s="129" t="s">
        <v>492</v>
      </c>
      <c r="AM5" s="129" t="s">
        <v>473</v>
      </c>
      <c r="AN5" s="129" t="s">
        <v>64</v>
      </c>
      <c r="AO5" s="98" t="s">
        <v>495</v>
      </c>
      <c r="AP5" s="98" t="s">
        <v>655</v>
      </c>
      <c r="AQ5" s="129" t="s">
        <v>77</v>
      </c>
      <c r="AR5" s="129" t="s">
        <v>462</v>
      </c>
      <c r="AS5" s="98" t="s">
        <v>536</v>
      </c>
      <c r="AT5" s="129" t="s">
        <v>543</v>
      </c>
      <c r="AU5" s="129" t="s">
        <v>91</v>
      </c>
      <c r="AV5" s="129" t="s">
        <v>318</v>
      </c>
      <c r="AW5" s="129" t="s">
        <v>554</v>
      </c>
      <c r="AX5" s="129" t="s">
        <v>547</v>
      </c>
      <c r="AY5" s="129" t="s">
        <v>512</v>
      </c>
      <c r="AZ5" s="129" t="s">
        <v>18</v>
      </c>
      <c r="BA5" s="129" t="s">
        <v>524</v>
      </c>
      <c r="BB5" s="98" t="s">
        <v>517</v>
      </c>
      <c r="BC5" s="129" t="s">
        <v>550</v>
      </c>
      <c r="BD5" s="129" t="s">
        <v>318</v>
      </c>
      <c r="BE5" s="129" t="s">
        <v>556</v>
      </c>
      <c r="BF5" s="98" t="s">
        <v>522</v>
      </c>
      <c r="BG5" s="129" t="s">
        <v>136</v>
      </c>
      <c r="BH5" s="129" t="s">
        <v>564</v>
      </c>
      <c r="BI5" s="98" t="s">
        <v>528</v>
      </c>
      <c r="BJ5" s="129" t="s">
        <v>247</v>
      </c>
      <c r="BK5" s="129" t="s">
        <v>569</v>
      </c>
      <c r="BL5" s="111"/>
    </row>
    <row r="6" spans="2:64" ht="18" customHeight="1">
      <c r="B6" s="93" t="s">
        <v>169</v>
      </c>
      <c r="C6" s="93" t="s">
        <v>183</v>
      </c>
      <c r="D6" s="93" t="s">
        <v>196</v>
      </c>
      <c r="E6" s="93" t="s">
        <v>204</v>
      </c>
      <c r="F6" s="93" t="s">
        <v>215</v>
      </c>
      <c r="G6" s="93" t="s">
        <v>270</v>
      </c>
      <c r="H6" s="96"/>
      <c r="I6" s="95">
        <v>1</v>
      </c>
      <c r="J6" s="114" t="e">
        <f>VLOOKUP('Luccini 2019'!E8,$Q:$Z,2,FALSE)</f>
        <v>#N/A</v>
      </c>
      <c r="K6" s="114" t="e">
        <f>VLOOKUP('Luccini 2019'!E8,$Q:$Z,3,FALSE)</f>
        <v>#N/A</v>
      </c>
      <c r="L6" s="114" t="e">
        <f>VLOOKUP('Luccini 2019'!E8,$Q:$Z,4,FALSE)</f>
        <v>#N/A</v>
      </c>
      <c r="M6" s="114" t="e">
        <f>VLOOKUP('Luccini 2019'!E8,$Q:$Z,5,FALSE)</f>
        <v>#N/A</v>
      </c>
      <c r="N6" s="121">
        <f>(IF('Luccini 2019'!E8&lt;&gt;"",VLOOKUP('Luccini 2019'!E8,Q:Z,7,FALSE),"0")+('Luccini 2019'!Q8*1000))</f>
        <v>0</v>
      </c>
      <c r="O6" s="124"/>
      <c r="P6" s="116">
        <v>5</v>
      </c>
      <c r="Q6" s="132" t="s">
        <v>493</v>
      </c>
      <c r="R6" s="133">
        <v>6</v>
      </c>
      <c r="S6" s="133">
        <v>3</v>
      </c>
      <c r="T6" s="133">
        <v>3</v>
      </c>
      <c r="U6" s="133">
        <v>7</v>
      </c>
      <c r="V6" s="134" t="s">
        <v>62</v>
      </c>
      <c r="W6" s="135">
        <v>90000</v>
      </c>
      <c r="X6" s="135" t="s">
        <v>58</v>
      </c>
      <c r="Y6" s="135" t="s">
        <v>53</v>
      </c>
      <c r="Z6" s="135">
        <v>4</v>
      </c>
      <c r="AA6" s="377"/>
      <c r="AB6" s="103">
        <v>5</v>
      </c>
      <c r="AC6" s="131" t="s">
        <v>497</v>
      </c>
      <c r="AD6" s="121">
        <v>70000</v>
      </c>
      <c r="AE6" s="131" t="s">
        <v>497</v>
      </c>
      <c r="AF6" s="121">
        <v>1</v>
      </c>
      <c r="AG6" s="105"/>
      <c r="AH6" s="106">
        <f t="shared" si="0"/>
        <v>6</v>
      </c>
      <c r="AI6" s="107" t="str">
        <f t="shared" si="1"/>
        <v>*Bertha Bigfist</v>
      </c>
      <c r="AJ6" s="108" t="str">
        <f>HLOOKUP('Luccini 2019'!K$24,AL$2:BK$24,6,FALSE)</f>
        <v>*Bertha Bigfist</v>
      </c>
      <c r="AK6" s="105"/>
      <c r="AL6" s="129" t="s">
        <v>493</v>
      </c>
      <c r="AM6" s="129" t="s">
        <v>328</v>
      </c>
      <c r="AN6" s="129" t="s">
        <v>5</v>
      </c>
      <c r="AO6" s="98" t="s">
        <v>496</v>
      </c>
      <c r="AP6" s="98" t="s">
        <v>500</v>
      </c>
      <c r="AQ6" s="129" t="s">
        <v>535</v>
      </c>
      <c r="AR6" s="129" t="s">
        <v>463</v>
      </c>
      <c r="AS6" s="98" t="s">
        <v>82</v>
      </c>
      <c r="AT6" s="129" t="s">
        <v>544</v>
      </c>
      <c r="AU6" s="129" t="s">
        <v>92</v>
      </c>
      <c r="AV6" s="129" t="s">
        <v>40</v>
      </c>
      <c r="AW6" s="129" t="s">
        <v>552</v>
      </c>
      <c r="AX6" s="129" t="s">
        <v>548</v>
      </c>
      <c r="AY6" s="129" t="s">
        <v>313</v>
      </c>
      <c r="AZ6" s="129" t="s">
        <v>34</v>
      </c>
      <c r="BA6" s="129" t="s">
        <v>115</v>
      </c>
      <c r="BB6" s="129" t="s">
        <v>518</v>
      </c>
      <c r="BC6" s="129" t="s">
        <v>549</v>
      </c>
      <c r="BD6" s="129" t="s">
        <v>5</v>
      </c>
      <c r="BE6" s="129" t="s">
        <v>135</v>
      </c>
      <c r="BF6" s="129" t="s">
        <v>524</v>
      </c>
      <c r="BG6" s="129" t="s">
        <v>560</v>
      </c>
      <c r="BH6" s="129" t="s">
        <v>370</v>
      </c>
      <c r="BI6" s="129" t="s">
        <v>529</v>
      </c>
      <c r="BJ6" s="129" t="s">
        <v>326</v>
      </c>
      <c r="BK6" s="129" t="s">
        <v>32</v>
      </c>
      <c r="BL6" s="111"/>
    </row>
    <row r="7" spans="2:64" ht="18" customHeight="1">
      <c r="B7" s="93" t="s">
        <v>170</v>
      </c>
      <c r="C7" s="93" t="s">
        <v>184</v>
      </c>
      <c r="D7" s="93" t="s">
        <v>194</v>
      </c>
      <c r="E7" s="93" t="s">
        <v>199</v>
      </c>
      <c r="F7" s="93" t="s">
        <v>216</v>
      </c>
      <c r="G7" s="93" t="s">
        <v>271</v>
      </c>
      <c r="H7" s="96"/>
      <c r="I7" s="95">
        <v>1</v>
      </c>
      <c r="J7" s="114" t="e">
        <f>VLOOKUP('Luccini 2019'!E9,$Q:$Z,2,FALSE)</f>
        <v>#N/A</v>
      </c>
      <c r="K7" s="114" t="e">
        <f>VLOOKUP('Luccini 2019'!E9,$Q:$Z,3,FALSE)</f>
        <v>#N/A</v>
      </c>
      <c r="L7" s="114" t="e">
        <f>VLOOKUP('Luccini 2019'!E9,$Q:$Z,4,FALSE)</f>
        <v>#N/A</v>
      </c>
      <c r="M7" s="114" t="e">
        <f>VLOOKUP('Luccini 2019'!E9,$Q:$Z,5,FALSE)</f>
        <v>#N/A</v>
      </c>
      <c r="N7" s="121">
        <f>(IF('Luccini 2019'!E9&lt;&gt;"",VLOOKUP('Luccini 2019'!E9,Q:Z,7,FALSE),"0")+('Luccini 2019'!Q9*1000))</f>
        <v>0</v>
      </c>
      <c r="O7" s="124"/>
      <c r="P7" s="116">
        <v>6</v>
      </c>
      <c r="Q7" s="129" t="s">
        <v>565</v>
      </c>
      <c r="R7" s="130">
        <v>6</v>
      </c>
      <c r="S7" s="130">
        <v>3</v>
      </c>
      <c r="T7" s="130">
        <v>2</v>
      </c>
      <c r="U7" s="130">
        <v>7</v>
      </c>
      <c r="V7" s="119" t="s">
        <v>474</v>
      </c>
      <c r="W7" s="121">
        <v>40000</v>
      </c>
      <c r="X7" s="121" t="s">
        <v>13</v>
      </c>
      <c r="Y7" s="121" t="s">
        <v>55</v>
      </c>
      <c r="Z7" s="121">
        <v>16</v>
      </c>
      <c r="AA7" s="379" t="s">
        <v>472</v>
      </c>
      <c r="AB7" s="103">
        <v>6</v>
      </c>
      <c r="AC7" s="131" t="s">
        <v>74</v>
      </c>
      <c r="AD7" s="121">
        <v>50000</v>
      </c>
      <c r="AE7" s="131" t="s">
        <v>74</v>
      </c>
      <c r="AF7" s="121">
        <v>1</v>
      </c>
      <c r="AG7" s="105"/>
      <c r="AH7" s="106">
        <f t="shared" si="0"/>
        <v>7</v>
      </c>
      <c r="AI7" s="107" t="str">
        <f t="shared" si="1"/>
        <v>*Helmut Wulf</v>
      </c>
      <c r="AJ7" s="108" t="str">
        <f>HLOOKUP('Luccini 2019'!K$24,AL$2:BK$24,7,FALSE)</f>
        <v>*Helmut Wulf</v>
      </c>
      <c r="AK7" s="105"/>
      <c r="AL7" s="129" t="s">
        <v>318</v>
      </c>
      <c r="AM7" s="129" t="s">
        <v>366</v>
      </c>
      <c r="AN7" s="129" t="s">
        <v>6</v>
      </c>
      <c r="AO7" s="129" t="s">
        <v>226</v>
      </c>
      <c r="AP7" s="98" t="s">
        <v>501</v>
      </c>
      <c r="AQ7" s="129" t="s">
        <v>79</v>
      </c>
      <c r="AR7" s="129" t="s">
        <v>226</v>
      </c>
      <c r="AS7" s="98" t="s">
        <v>83</v>
      </c>
      <c r="AT7" s="129" t="s">
        <v>328</v>
      </c>
      <c r="AU7" s="98" t="s">
        <v>653</v>
      </c>
      <c r="AV7" s="129" t="s">
        <v>907</v>
      </c>
      <c r="AW7" s="129" t="s">
        <v>902</v>
      </c>
      <c r="AX7" s="98" t="s">
        <v>38</v>
      </c>
      <c r="AY7" s="129" t="s">
        <v>12</v>
      </c>
      <c r="AZ7" s="136" t="s">
        <v>0</v>
      </c>
      <c r="BA7" s="129" t="s">
        <v>116</v>
      </c>
      <c r="BB7" s="129" t="s">
        <v>519</v>
      </c>
      <c r="BC7" s="129" t="s">
        <v>5</v>
      </c>
      <c r="BD7" s="129" t="s">
        <v>6</v>
      </c>
      <c r="BE7" s="129" t="s">
        <v>557</v>
      </c>
      <c r="BF7" s="98" t="s">
        <v>106</v>
      </c>
      <c r="BG7" s="129" t="s">
        <v>137</v>
      </c>
      <c r="BH7" s="129" t="s">
        <v>34</v>
      </c>
      <c r="BI7" s="98" t="s">
        <v>530</v>
      </c>
      <c r="BJ7" s="129" t="s">
        <v>34</v>
      </c>
      <c r="BK7" s="129" t="s">
        <v>316</v>
      </c>
      <c r="BL7" s="111"/>
    </row>
    <row r="8" spans="2:64" ht="18" customHeight="1">
      <c r="B8" s="93" t="s">
        <v>171</v>
      </c>
      <c r="C8" s="93" t="s">
        <v>185</v>
      </c>
      <c r="D8" s="93" t="s">
        <v>192</v>
      </c>
      <c r="E8" s="93" t="s">
        <v>197</v>
      </c>
      <c r="F8" s="93" t="s">
        <v>212</v>
      </c>
      <c r="G8" s="93" t="s">
        <v>283</v>
      </c>
      <c r="H8" s="96"/>
      <c r="I8" s="95">
        <v>1</v>
      </c>
      <c r="J8" s="114" t="e">
        <f>VLOOKUP('Luccini 2019'!E10,$Q:$Z,2,FALSE)</f>
        <v>#N/A</v>
      </c>
      <c r="K8" s="114" t="e">
        <f>VLOOKUP('Luccini 2019'!E10,$Q:$Z,3,FALSE)</f>
        <v>#N/A</v>
      </c>
      <c r="L8" s="114" t="e">
        <f>VLOOKUP('Luccini 2019'!E10,$Q:$Z,4,FALSE)</f>
        <v>#N/A</v>
      </c>
      <c r="M8" s="114" t="e">
        <f>VLOOKUP('Luccini 2019'!E10,$Q:$Z,5,FALSE)</f>
        <v>#N/A</v>
      </c>
      <c r="N8" s="121">
        <f>(IF('Luccini 2019'!E10&lt;&gt;"",VLOOKUP('Luccini 2019'!E10,Q:Z,7,FALSE),"0")+('Luccini 2019'!Q10*1000))</f>
        <v>0</v>
      </c>
      <c r="O8" s="124"/>
      <c r="P8" s="116">
        <v>7</v>
      </c>
      <c r="Q8" s="129" t="s">
        <v>566</v>
      </c>
      <c r="R8" s="130">
        <v>7</v>
      </c>
      <c r="S8" s="130">
        <v>3</v>
      </c>
      <c r="T8" s="130">
        <v>3</v>
      </c>
      <c r="U8" s="130">
        <v>8</v>
      </c>
      <c r="V8" s="119" t="s">
        <v>475</v>
      </c>
      <c r="W8" s="121">
        <v>110000</v>
      </c>
      <c r="X8" s="121" t="s">
        <v>24</v>
      </c>
      <c r="Y8" s="121" t="s">
        <v>73</v>
      </c>
      <c r="Z8" s="121">
        <v>4</v>
      </c>
      <c r="AA8" s="380"/>
      <c r="AB8" s="103">
        <v>7</v>
      </c>
      <c r="AC8" s="131" t="s">
        <v>468</v>
      </c>
      <c r="AD8" s="121">
        <v>70000</v>
      </c>
      <c r="AE8" s="131" t="s">
        <v>468</v>
      </c>
      <c r="AF8" s="121">
        <v>1</v>
      </c>
      <c r="AG8" s="105"/>
      <c r="AH8" s="106">
        <f t="shared" si="0"/>
        <v>8</v>
      </c>
      <c r="AI8" s="107" t="str">
        <f t="shared" si="1"/>
        <v>*#Karla von Kill</v>
      </c>
      <c r="AJ8" s="108" t="str">
        <f>HLOOKUP('Luccini 2019'!K$24,AL$2:BK$24,8,FALSE)</f>
        <v>*#Karla von Kill</v>
      </c>
      <c r="AK8" s="105"/>
      <c r="AL8" s="129" t="s">
        <v>34</v>
      </c>
      <c r="AM8" s="136" t="s">
        <v>632</v>
      </c>
      <c r="AN8" s="129" t="s">
        <v>226</v>
      </c>
      <c r="AO8" s="129" t="s">
        <v>235</v>
      </c>
      <c r="AP8" s="129" t="s">
        <v>502</v>
      </c>
      <c r="AQ8" s="129" t="s">
        <v>626</v>
      </c>
      <c r="AR8" s="129" t="s">
        <v>633</v>
      </c>
      <c r="AS8" s="129" t="s">
        <v>218</v>
      </c>
      <c r="AT8" s="129" t="s">
        <v>626</v>
      </c>
      <c r="AU8" s="129" t="s">
        <v>90</v>
      </c>
      <c r="AV8" s="129" t="s">
        <v>633</v>
      </c>
      <c r="AW8" s="129" t="s">
        <v>328</v>
      </c>
      <c r="AX8" s="136" t="s">
        <v>627</v>
      </c>
      <c r="AY8" s="136" t="s">
        <v>341</v>
      </c>
      <c r="AZ8" s="129" t="s">
        <v>350</v>
      </c>
      <c r="BA8" s="129" t="s">
        <v>247</v>
      </c>
      <c r="BB8" s="129" t="s">
        <v>315</v>
      </c>
      <c r="BC8" s="129" t="s">
        <v>6</v>
      </c>
      <c r="BD8" s="136" t="s">
        <v>50</v>
      </c>
      <c r="BE8" s="129" t="s">
        <v>375</v>
      </c>
      <c r="BF8" s="129" t="s">
        <v>247</v>
      </c>
      <c r="BG8" s="129" t="s">
        <v>331</v>
      </c>
      <c r="BH8" s="136" t="s">
        <v>0</v>
      </c>
      <c r="BI8" s="136" t="s">
        <v>50</v>
      </c>
      <c r="BJ8" s="137" t="s">
        <v>346</v>
      </c>
      <c r="BK8" s="129" t="s">
        <v>328</v>
      </c>
      <c r="BL8" s="111"/>
    </row>
    <row r="9" spans="2:64" ht="18" customHeight="1">
      <c r="B9" s="93" t="s">
        <v>179</v>
      </c>
      <c r="C9" s="93" t="s">
        <v>189</v>
      </c>
      <c r="D9" s="93" t="s">
        <v>195</v>
      </c>
      <c r="E9" s="93" t="s">
        <v>203</v>
      </c>
      <c r="F9" s="93" t="s">
        <v>213</v>
      </c>
      <c r="G9" s="93" t="s">
        <v>272</v>
      </c>
      <c r="H9" s="96"/>
      <c r="I9" s="95">
        <v>1</v>
      </c>
      <c r="J9" s="114" t="e">
        <f>VLOOKUP('Luccini 2019'!E11,$Q:$Z,2,FALSE)</f>
        <v>#N/A</v>
      </c>
      <c r="K9" s="114" t="e">
        <f>VLOOKUP('Luccini 2019'!E11,$Q:$Z,3,FALSE)</f>
        <v>#N/A</v>
      </c>
      <c r="L9" s="114" t="e">
        <f>VLOOKUP('Luccini 2019'!E11,$Q:$Z,4,FALSE)</f>
        <v>#N/A</v>
      </c>
      <c r="M9" s="114" t="e">
        <f>VLOOKUP('Luccini 2019'!E11,$Q:$Z,5,FALSE)</f>
        <v>#N/A</v>
      </c>
      <c r="N9" s="121">
        <f>(IF('Luccini 2019'!E11&lt;&gt;"",VLOOKUP('Luccini 2019'!E11,Q:Z,7,FALSE),"0")+('Luccini 2019'!Q11*1000))</f>
        <v>0</v>
      </c>
      <c r="O9" s="124"/>
      <c r="P9" s="116">
        <v>8</v>
      </c>
      <c r="Q9" s="129" t="s">
        <v>473</v>
      </c>
      <c r="R9" s="130">
        <v>6</v>
      </c>
      <c r="S9" s="130">
        <v>3</v>
      </c>
      <c r="T9" s="130">
        <v>3</v>
      </c>
      <c r="U9" s="130">
        <v>8</v>
      </c>
      <c r="V9" s="119" t="s">
        <v>476</v>
      </c>
      <c r="W9" s="121">
        <v>70000</v>
      </c>
      <c r="X9" s="121" t="s">
        <v>58</v>
      </c>
      <c r="Y9" s="121" t="s">
        <v>53</v>
      </c>
      <c r="Z9" s="121">
        <v>4</v>
      </c>
      <c r="AA9" s="381"/>
      <c r="AB9" s="103">
        <v>8</v>
      </c>
      <c r="AC9" s="131" t="s">
        <v>81</v>
      </c>
      <c r="AD9" s="121">
        <v>50000</v>
      </c>
      <c r="AE9" s="131" t="s">
        <v>81</v>
      </c>
      <c r="AF9" s="121">
        <v>1</v>
      </c>
      <c r="AG9" s="105"/>
      <c r="AH9" s="106">
        <f t="shared" si="0"/>
        <v>9</v>
      </c>
      <c r="AI9" s="107" t="str">
        <f t="shared" si="1"/>
        <v>*#Morg ’n’ Thorg</v>
      </c>
      <c r="AJ9" s="108" t="str">
        <f>HLOOKUP('Luccini 2019'!K$24,AL$2:BK$24,9,FALSE)</f>
        <v>*#Morg ’n’ Thorg</v>
      </c>
      <c r="AK9" s="105"/>
      <c r="AL9" s="129" t="s">
        <v>907</v>
      </c>
      <c r="AM9" s="129" t="s">
        <v>244</v>
      </c>
      <c r="AN9" s="129" t="s">
        <v>348</v>
      </c>
      <c r="AO9" s="129" t="s">
        <v>633</v>
      </c>
      <c r="AP9" s="129" t="s">
        <v>503</v>
      </c>
      <c r="AQ9" s="136" t="s">
        <v>233</v>
      </c>
      <c r="AR9" s="129" t="s">
        <v>464</v>
      </c>
      <c r="AS9" s="129" t="s">
        <v>22</v>
      </c>
      <c r="AT9" s="136" t="s">
        <v>340</v>
      </c>
      <c r="AU9" s="98" t="s">
        <v>651</v>
      </c>
      <c r="AV9" s="129" t="s">
        <v>240</v>
      </c>
      <c r="AW9" s="129" t="s">
        <v>626</v>
      </c>
      <c r="AX9" s="129" t="s">
        <v>34</v>
      </c>
      <c r="AY9" s="137" t="s">
        <v>344</v>
      </c>
      <c r="AZ9" s="129" t="s">
        <v>633</v>
      </c>
      <c r="BA9" s="129" t="s">
        <v>12</v>
      </c>
      <c r="BB9" s="129" t="s">
        <v>22</v>
      </c>
      <c r="BC9" s="129" t="s">
        <v>226</v>
      </c>
      <c r="BD9" s="129" t="s">
        <v>633</v>
      </c>
      <c r="BE9" s="136" t="s">
        <v>50</v>
      </c>
      <c r="BF9" s="129" t="s">
        <v>12</v>
      </c>
      <c r="BG9" s="129" t="s">
        <v>904</v>
      </c>
      <c r="BH9" s="129" t="s">
        <v>350</v>
      </c>
      <c r="BI9" s="129" t="s">
        <v>331</v>
      </c>
      <c r="BJ9" s="129" t="s">
        <v>633</v>
      </c>
      <c r="BK9" s="129" t="s">
        <v>626</v>
      </c>
      <c r="BL9" s="111"/>
    </row>
    <row r="10" spans="2:64" ht="18" customHeight="1">
      <c r="B10" s="93" t="s">
        <v>173</v>
      </c>
      <c r="C10" s="93" t="s">
        <v>186</v>
      </c>
      <c r="E10" s="93" t="s">
        <v>201</v>
      </c>
      <c r="F10" s="93" t="s">
        <v>210</v>
      </c>
      <c r="G10" s="93" t="s">
        <v>288</v>
      </c>
      <c r="H10" s="96"/>
      <c r="I10" s="95">
        <v>1</v>
      </c>
      <c r="J10" s="114" t="e">
        <f>VLOOKUP('Luccini 2019'!E12,$Q:$Z,2,FALSE)</f>
        <v>#N/A</v>
      </c>
      <c r="K10" s="114" t="e">
        <f>VLOOKUP('Luccini 2019'!E12,$Q:$Z,3,FALSE)</f>
        <v>#N/A</v>
      </c>
      <c r="L10" s="114" t="e">
        <f>VLOOKUP('Luccini 2019'!E12,$Q:$Z,4,FALSE)</f>
        <v>#N/A</v>
      </c>
      <c r="M10" s="114" t="e">
        <f>VLOOKUP('Luccini 2019'!E12,$Q:$Z,5,FALSE)</f>
        <v>#N/A</v>
      </c>
      <c r="N10" s="121">
        <f>(IF('Luccini 2019'!E12&lt;&gt;"",VLOOKUP('Luccini 2019'!E12,Q:Z,7,FALSE),"0")+('Luccini 2019'!Q12*1000))</f>
        <v>0</v>
      </c>
      <c r="O10" s="124"/>
      <c r="P10" s="116">
        <v>9</v>
      </c>
      <c r="Q10" s="138" t="s">
        <v>505</v>
      </c>
      <c r="R10" s="126">
        <v>6</v>
      </c>
      <c r="S10" s="126">
        <v>3</v>
      </c>
      <c r="T10" s="126">
        <v>3</v>
      </c>
      <c r="U10" s="126">
        <v>8</v>
      </c>
      <c r="V10" s="127" t="s">
        <v>65</v>
      </c>
      <c r="W10" s="128">
        <v>60000</v>
      </c>
      <c r="X10" s="128" t="s">
        <v>67</v>
      </c>
      <c r="Y10" s="128" t="s">
        <v>53</v>
      </c>
      <c r="Z10" s="128">
        <v>16</v>
      </c>
      <c r="AA10" s="373" t="s">
        <v>504</v>
      </c>
      <c r="AB10" s="103">
        <v>9</v>
      </c>
      <c r="AC10" s="120" t="s">
        <v>540</v>
      </c>
      <c r="AD10" s="121">
        <v>50000</v>
      </c>
      <c r="AE10" s="120" t="s">
        <v>540</v>
      </c>
      <c r="AF10" s="121">
        <v>1</v>
      </c>
      <c r="AG10" s="105"/>
      <c r="AH10" s="106">
        <f t="shared" si="0"/>
        <v>10</v>
      </c>
      <c r="AI10" s="107" t="str">
        <f t="shared" si="1"/>
        <v>*#Roxanna Darknail</v>
      </c>
      <c r="AJ10" s="108" t="str">
        <f>HLOOKUP('Luccini 2019'!K$24,AL$2:BK$24,10,FALSE)</f>
        <v>*#Roxanna Darknail</v>
      </c>
      <c r="AK10" s="105"/>
      <c r="AL10" s="129" t="s">
        <v>633</v>
      </c>
      <c r="AM10" s="136" t="s">
        <v>627</v>
      </c>
      <c r="AN10" s="129" t="s">
        <v>237</v>
      </c>
      <c r="AO10" s="129" t="s">
        <v>239</v>
      </c>
      <c r="AP10" s="129" t="s">
        <v>369</v>
      </c>
      <c r="AQ10" s="136" t="s">
        <v>340</v>
      </c>
      <c r="AR10" s="98" t="s">
        <v>406</v>
      </c>
      <c r="AS10" s="129" t="s">
        <v>223</v>
      </c>
      <c r="AT10" s="129" t="s">
        <v>631</v>
      </c>
      <c r="AU10" s="129" t="s">
        <v>17</v>
      </c>
      <c r="AV10" s="129" t="s">
        <v>366</v>
      </c>
      <c r="AW10" s="129" t="s">
        <v>633</v>
      </c>
      <c r="AX10" s="129" t="s">
        <v>907</v>
      </c>
      <c r="AY10" s="129" t="s">
        <v>3</v>
      </c>
      <c r="AZ10" s="129" t="s">
        <v>356</v>
      </c>
      <c r="BA10" s="137" t="s">
        <v>346</v>
      </c>
      <c r="BB10" s="129" t="s">
        <v>34</v>
      </c>
      <c r="BC10" s="98" t="s">
        <v>629</v>
      </c>
      <c r="BD10" s="129" t="s">
        <v>239</v>
      </c>
      <c r="BE10" s="129" t="s">
        <v>633</v>
      </c>
      <c r="BF10" s="137" t="s">
        <v>346</v>
      </c>
      <c r="BG10" s="129" t="s">
        <v>334</v>
      </c>
      <c r="BH10" s="129" t="s">
        <v>633</v>
      </c>
      <c r="BI10" s="129" t="s">
        <v>904</v>
      </c>
      <c r="BJ10" s="129" t="s">
        <v>1</v>
      </c>
      <c r="BK10" s="129" t="s">
        <v>631</v>
      </c>
      <c r="BL10" s="111"/>
    </row>
    <row r="11" spans="2:64" ht="18" customHeight="1">
      <c r="B11" s="93" t="s">
        <v>178</v>
      </c>
      <c r="C11" s="93" t="s">
        <v>188</v>
      </c>
      <c r="E11" s="93" t="s">
        <v>198</v>
      </c>
      <c r="F11" s="93" t="s">
        <v>207</v>
      </c>
      <c r="G11" s="93" t="s">
        <v>290</v>
      </c>
      <c r="H11" s="96"/>
      <c r="I11" s="95">
        <v>1</v>
      </c>
      <c r="J11" s="114" t="e">
        <f>VLOOKUP('Luccini 2019'!E13,$Q:$Z,2,FALSE)</f>
        <v>#N/A</v>
      </c>
      <c r="K11" s="114" t="e">
        <f>VLOOKUP('Luccini 2019'!E13,$Q:$Z,3,FALSE)</f>
        <v>#N/A</v>
      </c>
      <c r="L11" s="114" t="e">
        <f>VLOOKUP('Luccini 2019'!E13,$Q:$Z,4,FALSE)</f>
        <v>#N/A</v>
      </c>
      <c r="M11" s="114" t="e">
        <f>VLOOKUP('Luccini 2019'!E13,$Q:$Z,5,FALSE)</f>
        <v>#N/A</v>
      </c>
      <c r="N11" s="121">
        <f>(IF('Luccini 2019'!E13&lt;&gt;"",VLOOKUP('Luccini 2019'!E13,Q:Z,7,FALSE),"0")+('Luccini 2019'!Q13*1000))</f>
        <v>0</v>
      </c>
      <c r="O11" s="124"/>
      <c r="P11" s="116">
        <v>10</v>
      </c>
      <c r="Q11" s="139" t="s">
        <v>506</v>
      </c>
      <c r="R11" s="130">
        <v>5</v>
      </c>
      <c r="S11" s="130">
        <v>4</v>
      </c>
      <c r="T11" s="130">
        <v>3</v>
      </c>
      <c r="U11" s="130">
        <v>9</v>
      </c>
      <c r="V11" s="119"/>
      <c r="W11" s="121">
        <v>100000</v>
      </c>
      <c r="X11" s="121" t="s">
        <v>67</v>
      </c>
      <c r="Y11" s="121" t="s">
        <v>53</v>
      </c>
      <c r="Z11" s="121">
        <v>4</v>
      </c>
      <c r="AA11" s="374"/>
      <c r="AB11" s="103">
        <v>10</v>
      </c>
      <c r="AC11" s="131" t="s">
        <v>27</v>
      </c>
      <c r="AD11" s="121">
        <v>60000</v>
      </c>
      <c r="AE11" s="131" t="s">
        <v>27</v>
      </c>
      <c r="AF11" s="121">
        <v>1</v>
      </c>
      <c r="AG11" s="105"/>
      <c r="AH11" s="106">
        <f t="shared" si="0"/>
        <v>11</v>
      </c>
      <c r="AI11" s="107" t="str">
        <f t="shared" si="1"/>
        <v>*Willow Rosebark</v>
      </c>
      <c r="AJ11" s="108" t="str">
        <f>HLOOKUP('Luccini 2019'!K$24,AL$2:BK$24,11,FALSE)</f>
        <v>*Willow Rosebark</v>
      </c>
      <c r="AK11" s="105"/>
      <c r="AL11" s="129" t="s">
        <v>635</v>
      </c>
      <c r="AM11" s="129" t="s">
        <v>633</v>
      </c>
      <c r="AN11" s="136" t="s">
        <v>238</v>
      </c>
      <c r="AO11" s="129" t="s">
        <v>241</v>
      </c>
      <c r="AP11" s="136" t="s">
        <v>50</v>
      </c>
      <c r="AQ11" s="137" t="s">
        <v>344</v>
      </c>
      <c r="AR11" s="98" t="s">
        <v>408</v>
      </c>
      <c r="AS11" s="129" t="s">
        <v>628</v>
      </c>
      <c r="AT11" s="129" t="s">
        <v>633</v>
      </c>
      <c r="AU11" s="136" t="s">
        <v>50</v>
      </c>
      <c r="AV11" s="129" t="s">
        <v>244</v>
      </c>
      <c r="AW11" s="137" t="s">
        <v>634</v>
      </c>
      <c r="AX11" s="136" t="s">
        <v>632</v>
      </c>
      <c r="AY11" s="129" t="s">
        <v>2</v>
      </c>
      <c r="AZ11" s="129" t="s">
        <v>23</v>
      </c>
      <c r="BA11" s="129" t="s">
        <v>3</v>
      </c>
      <c r="BB11" s="137" t="s">
        <v>246</v>
      </c>
      <c r="BC11" s="129" t="s">
        <v>348</v>
      </c>
      <c r="BD11" s="129" t="s">
        <v>242</v>
      </c>
      <c r="BE11" s="129" t="s">
        <v>918</v>
      </c>
      <c r="BF11" s="129" t="s">
        <v>3</v>
      </c>
      <c r="BG11" s="129" t="s">
        <v>630</v>
      </c>
      <c r="BH11" s="129" t="s">
        <v>356</v>
      </c>
      <c r="BI11" s="129" t="s">
        <v>334</v>
      </c>
      <c r="BJ11" s="129" t="s">
        <v>400</v>
      </c>
      <c r="BK11" s="129" t="s">
        <v>633</v>
      </c>
      <c r="BL11" s="111"/>
    </row>
    <row r="12" spans="2:64" ht="18" customHeight="1">
      <c r="B12" s="93" t="s">
        <v>172</v>
      </c>
      <c r="C12" s="93" t="s">
        <v>187</v>
      </c>
      <c r="E12" s="93" t="s">
        <v>206</v>
      </c>
      <c r="F12" s="93" t="s">
        <v>211</v>
      </c>
      <c r="G12" s="93" t="s">
        <v>273</v>
      </c>
      <c r="H12" s="96"/>
      <c r="I12" s="95">
        <v>1</v>
      </c>
      <c r="J12" s="114" t="e">
        <f>VLOOKUP('Luccini 2019'!E14,$Q:$Z,2,FALSE)</f>
        <v>#N/A</v>
      </c>
      <c r="K12" s="114" t="e">
        <f>VLOOKUP('Luccini 2019'!E14,$Q:$Z,3,FALSE)</f>
        <v>#N/A</v>
      </c>
      <c r="L12" s="114" t="e">
        <f>VLOOKUP('Luccini 2019'!E14,$Q:$Z,4,FALSE)</f>
        <v>#N/A</v>
      </c>
      <c r="M12" s="114" t="e">
        <f>VLOOKUP('Luccini 2019'!E14,$Q:$Z,5,FALSE)</f>
        <v>#N/A</v>
      </c>
      <c r="N12" s="121">
        <f>(IF('Luccini 2019'!E14&lt;&gt;"",VLOOKUP('Luccini 2019'!E14,Q:Z,7,FALSE),"0")+('Luccini 2019'!Q14*1000))</f>
        <v>0</v>
      </c>
      <c r="O12" s="124"/>
      <c r="P12" s="116">
        <v>11</v>
      </c>
      <c r="Q12" s="132" t="s">
        <v>64</v>
      </c>
      <c r="R12" s="133">
        <v>5</v>
      </c>
      <c r="S12" s="133">
        <v>5</v>
      </c>
      <c r="T12" s="133">
        <v>2</v>
      </c>
      <c r="U12" s="133">
        <v>8</v>
      </c>
      <c r="V12" s="134" t="s">
        <v>66</v>
      </c>
      <c r="W12" s="135">
        <v>150000</v>
      </c>
      <c r="X12" s="135" t="s">
        <v>68</v>
      </c>
      <c r="Y12" s="135" t="s">
        <v>24</v>
      </c>
      <c r="Z12" s="135">
        <v>1</v>
      </c>
      <c r="AA12" s="378"/>
      <c r="AB12" s="103">
        <v>11</v>
      </c>
      <c r="AC12" s="131" t="s">
        <v>29</v>
      </c>
      <c r="AD12" s="121">
        <v>60000</v>
      </c>
      <c r="AE12" s="131" t="s">
        <v>29</v>
      </c>
      <c r="AF12" s="121">
        <v>1</v>
      </c>
      <c r="AG12" s="105"/>
      <c r="AH12" s="106">
        <f t="shared" si="0"/>
        <v>12</v>
      </c>
      <c r="AI12" s="107" t="str">
        <f t="shared" si="1"/>
        <v>*Zara the Slayer</v>
      </c>
      <c r="AJ12" s="108" t="str">
        <f>HLOOKUP('Luccini 2019'!K$24,AL$2:BK$24,12,FALSE)</f>
        <v>*Zara the Slayer</v>
      </c>
      <c r="AK12" s="105"/>
      <c r="AL12" s="129" t="s">
        <v>366</v>
      </c>
      <c r="AM12" s="129" t="s">
        <v>601</v>
      </c>
      <c r="AN12" s="129" t="s">
        <v>633</v>
      </c>
      <c r="AO12" s="129" t="s">
        <v>245</v>
      </c>
      <c r="AP12" s="129" t="s">
        <v>326</v>
      </c>
      <c r="AQ12" s="129" t="s">
        <v>633</v>
      </c>
      <c r="AR12" s="98" t="s">
        <v>615</v>
      </c>
      <c r="AS12" s="129" t="s">
        <v>633</v>
      </c>
      <c r="AT12" s="137" t="s">
        <v>634</v>
      </c>
      <c r="AU12" s="129" t="s">
        <v>224</v>
      </c>
      <c r="AV12" s="139" t="s">
        <v>384</v>
      </c>
      <c r="AW12" s="129" t="s">
        <v>914</v>
      </c>
      <c r="AX12" s="129" t="s">
        <v>633</v>
      </c>
      <c r="AY12" s="129" t="s">
        <v>361</v>
      </c>
      <c r="AZ12" s="129" t="s">
        <v>387</v>
      </c>
      <c r="BA12" s="129" t="s">
        <v>2</v>
      </c>
      <c r="BB12" s="129" t="s">
        <v>907</v>
      </c>
      <c r="BC12" s="129" t="s">
        <v>237</v>
      </c>
      <c r="BD12" s="129" t="s">
        <v>394</v>
      </c>
      <c r="BE12" s="129" t="s">
        <v>242</v>
      </c>
      <c r="BF12" s="129" t="s">
        <v>2</v>
      </c>
      <c r="BG12" s="129" t="s">
        <v>230</v>
      </c>
      <c r="BH12" s="129" t="s">
        <v>23</v>
      </c>
      <c r="BI12" s="129" t="s">
        <v>908</v>
      </c>
      <c r="BJ12" s="98" t="s">
        <v>471</v>
      </c>
      <c r="BK12" s="129" t="s">
        <v>914</v>
      </c>
      <c r="BL12" s="111"/>
    </row>
    <row r="13" spans="2:64" ht="18" customHeight="1">
      <c r="B13" s="93" t="s">
        <v>174</v>
      </c>
      <c r="G13" s="93" t="s">
        <v>274</v>
      </c>
      <c r="H13" s="96"/>
      <c r="I13" s="95">
        <v>1</v>
      </c>
      <c r="J13" s="114" t="e">
        <f>VLOOKUP('Luccini 2019'!E15,$Q:$Z,2,FALSE)</f>
        <v>#N/A</v>
      </c>
      <c r="K13" s="114" t="e">
        <f>VLOOKUP('Luccini 2019'!E15,$Q:$Z,3,FALSE)</f>
        <v>#N/A</v>
      </c>
      <c r="L13" s="114" t="e">
        <f>VLOOKUP('Luccini 2019'!E15,$Q:$Z,4,FALSE)</f>
        <v>#N/A</v>
      </c>
      <c r="M13" s="114" t="e">
        <f>VLOOKUP('Luccini 2019'!E15,$Q:$Z,5,FALSE)</f>
        <v>#N/A</v>
      </c>
      <c r="N13" s="121">
        <f>(IF('Luccini 2019'!E15&lt;&gt;"",VLOOKUP('Luccini 2019'!E15,Q:Z,7,FALSE),"0")+('Luccini 2019'!Q15*1000))</f>
        <v>0</v>
      </c>
      <c r="O13" s="124"/>
      <c r="P13" s="116">
        <v>12</v>
      </c>
      <c r="Q13" s="138" t="s">
        <v>494</v>
      </c>
      <c r="R13" s="140">
        <v>6</v>
      </c>
      <c r="S13" s="140">
        <v>3</v>
      </c>
      <c r="T13" s="140">
        <v>3</v>
      </c>
      <c r="U13" s="140">
        <v>7</v>
      </c>
      <c r="V13" s="127"/>
      <c r="W13" s="141">
        <v>40000</v>
      </c>
      <c r="X13" s="141" t="s">
        <v>13</v>
      </c>
      <c r="Y13" s="141" t="s">
        <v>55</v>
      </c>
      <c r="Z13" s="141">
        <v>16</v>
      </c>
      <c r="AA13" s="375" t="s">
        <v>69</v>
      </c>
      <c r="AB13" s="103">
        <v>12</v>
      </c>
      <c r="AC13" s="131" t="s">
        <v>98</v>
      </c>
      <c r="AD13" s="121">
        <v>50000</v>
      </c>
      <c r="AE13" s="131" t="s">
        <v>98</v>
      </c>
      <c r="AF13" s="121">
        <v>1</v>
      </c>
      <c r="AG13" s="105"/>
      <c r="AH13" s="106">
        <f t="shared" si="0"/>
        <v>13</v>
      </c>
      <c r="AI13" s="107" t="str">
        <f t="shared" si="1"/>
        <v>Amazon Journeywoman</v>
      </c>
      <c r="AJ13" s="108" t="str">
        <f>HLOOKUP('Luccini 2019'!K$24,AL$2:BK$24,13,FALSE)</f>
        <v>Amazon Journeywoman</v>
      </c>
      <c r="AK13" s="105"/>
      <c r="AL13" s="129" t="s">
        <v>244</v>
      </c>
      <c r="AM13" s="98" t="s">
        <v>410</v>
      </c>
      <c r="AN13" s="139" t="s">
        <v>377</v>
      </c>
      <c r="AO13" s="139" t="s">
        <v>379</v>
      </c>
      <c r="AP13" s="98" t="s">
        <v>629</v>
      </c>
      <c r="AQ13" s="129" t="s">
        <v>635</v>
      </c>
      <c r="AR13" s="129"/>
      <c r="AS13" s="129" t="s">
        <v>244</v>
      </c>
      <c r="AT13" s="129" t="s">
        <v>914</v>
      </c>
      <c r="AU13" s="129" t="s">
        <v>911</v>
      </c>
      <c r="AV13" s="98" t="s">
        <v>402</v>
      </c>
      <c r="AW13" s="129" t="s">
        <v>915</v>
      </c>
      <c r="AX13" s="129" t="s">
        <v>240</v>
      </c>
      <c r="AY13" s="129" t="s">
        <v>385</v>
      </c>
      <c r="AZ13" s="98" t="s">
        <v>417</v>
      </c>
      <c r="BA13" s="129" t="s">
        <v>1</v>
      </c>
      <c r="BB13" s="129" t="s">
        <v>633</v>
      </c>
      <c r="BC13" s="136" t="s">
        <v>238</v>
      </c>
      <c r="BD13" s="98" t="s">
        <v>405</v>
      </c>
      <c r="BE13" s="129" t="s">
        <v>51</v>
      </c>
      <c r="BF13" s="129" t="s">
        <v>361</v>
      </c>
      <c r="BG13" s="129" t="s">
        <v>908</v>
      </c>
      <c r="BH13" s="129" t="s">
        <v>610</v>
      </c>
      <c r="BI13" s="129" t="s">
        <v>911</v>
      </c>
      <c r="BJ13" s="98" t="s">
        <v>403</v>
      </c>
      <c r="BK13" s="129" t="s">
        <v>915</v>
      </c>
      <c r="BL13" s="111"/>
    </row>
    <row r="14" spans="2:64" ht="18" customHeight="1">
      <c r="B14" s="93" t="s">
        <v>175</v>
      </c>
      <c r="G14" s="93" t="s">
        <v>275</v>
      </c>
      <c r="H14" s="96"/>
      <c r="I14" s="95">
        <v>1</v>
      </c>
      <c r="J14" s="114" t="e">
        <f>VLOOKUP('Luccini 2019'!E16,$Q:$Z,2,FALSE)</f>
        <v>#N/A</v>
      </c>
      <c r="K14" s="114" t="e">
        <f>VLOOKUP('Luccini 2019'!E16,$Q:$Z,3,FALSE)</f>
        <v>#N/A</v>
      </c>
      <c r="L14" s="114" t="e">
        <f>VLOOKUP('Luccini 2019'!E16,$Q:$Z,4,FALSE)</f>
        <v>#N/A</v>
      </c>
      <c r="M14" s="114" t="e">
        <f>VLOOKUP('Luccini 2019'!E16,$Q:$Z,5,FALSE)</f>
        <v>#N/A</v>
      </c>
      <c r="N14" s="121">
        <f>(IF('Luccini 2019'!E16&lt;&gt;"",VLOOKUP('Luccini 2019'!E16,Q:Z,7,FALSE),"0")+('Luccini 2019'!Q16*1000))</f>
        <v>0</v>
      </c>
      <c r="O14" s="124"/>
      <c r="P14" s="116">
        <v>13</v>
      </c>
      <c r="Q14" s="139" t="s">
        <v>70</v>
      </c>
      <c r="R14" s="142">
        <v>4</v>
      </c>
      <c r="S14" s="142">
        <v>3</v>
      </c>
      <c r="T14" s="142">
        <v>2</v>
      </c>
      <c r="U14" s="142">
        <v>9</v>
      </c>
      <c r="V14" s="119" t="s">
        <v>71</v>
      </c>
      <c r="W14" s="143">
        <v>70000</v>
      </c>
      <c r="X14" s="143" t="s">
        <v>58</v>
      </c>
      <c r="Y14" s="143" t="s">
        <v>36</v>
      </c>
      <c r="Z14" s="143">
        <v>6</v>
      </c>
      <c r="AA14" s="376"/>
      <c r="AB14" s="103">
        <v>13</v>
      </c>
      <c r="AC14" s="131" t="s">
        <v>101</v>
      </c>
      <c r="AD14" s="121">
        <v>50000</v>
      </c>
      <c r="AE14" s="131" t="s">
        <v>101</v>
      </c>
      <c r="AF14" s="121">
        <v>1</v>
      </c>
      <c r="AG14" s="105"/>
      <c r="AH14" s="106">
        <f t="shared" si="0"/>
        <v>14</v>
      </c>
      <c r="AI14" s="107" t="str">
        <f t="shared" si="1"/>
        <v>**Jean Castaneda</v>
      </c>
      <c r="AJ14" s="108" t="str">
        <f>HLOOKUP('Luccini 2019'!K$24,AL$2:BK$24,14,FALSE)</f>
        <v>**Jean Castaneda</v>
      </c>
      <c r="AK14" s="105"/>
      <c r="AL14" s="139" t="s">
        <v>600</v>
      </c>
      <c r="AM14" s="98" t="s">
        <v>419</v>
      </c>
      <c r="AN14" s="98" t="s">
        <v>409</v>
      </c>
      <c r="AO14" s="98" t="s">
        <v>409</v>
      </c>
      <c r="AP14" s="129" t="s">
        <v>348</v>
      </c>
      <c r="AQ14" s="129" t="s">
        <v>603</v>
      </c>
      <c r="AR14" s="129"/>
      <c r="AS14" s="139" t="s">
        <v>381</v>
      </c>
      <c r="AT14" s="129" t="s">
        <v>915</v>
      </c>
      <c r="AU14" s="129" t="s">
        <v>633</v>
      </c>
      <c r="AV14" s="98" t="s">
        <v>404</v>
      </c>
      <c r="AW14" s="129" t="s">
        <v>363</v>
      </c>
      <c r="AX14" s="129" t="s">
        <v>244</v>
      </c>
      <c r="AY14" s="98" t="s">
        <v>409</v>
      </c>
      <c r="AZ14" s="98" t="s">
        <v>404</v>
      </c>
      <c r="BA14" s="129" t="s">
        <v>389</v>
      </c>
      <c r="BB14" s="129" t="s">
        <v>1</v>
      </c>
      <c r="BC14" s="129" t="s">
        <v>633</v>
      </c>
      <c r="BD14" s="98" t="s">
        <v>470</v>
      </c>
      <c r="BE14" s="129" t="s">
        <v>636</v>
      </c>
      <c r="BF14" s="129" t="s">
        <v>397</v>
      </c>
      <c r="BG14" s="129" t="s">
        <v>633</v>
      </c>
      <c r="BH14" s="98" t="s">
        <v>404</v>
      </c>
      <c r="BI14" s="129" t="s">
        <v>633</v>
      </c>
      <c r="BJ14" s="98" t="s">
        <v>406</v>
      </c>
      <c r="BK14" s="129" t="s">
        <v>366</v>
      </c>
      <c r="BL14" s="111"/>
    </row>
    <row r="15" spans="2:64" ht="18" customHeight="1">
      <c r="B15" s="93" t="s">
        <v>176</v>
      </c>
      <c r="G15" s="93" t="s">
        <v>287</v>
      </c>
      <c r="H15" s="96"/>
      <c r="I15" s="95">
        <v>1</v>
      </c>
      <c r="J15" s="114" t="e">
        <f>VLOOKUP('Luccini 2019'!E17,$Q:$Z,2,FALSE)</f>
        <v>#N/A</v>
      </c>
      <c r="K15" s="114" t="e">
        <f>VLOOKUP('Luccini 2019'!E17,$Q:$Z,3,FALSE)</f>
        <v>#N/A</v>
      </c>
      <c r="L15" s="114" t="e">
        <f>VLOOKUP('Luccini 2019'!E17,$Q:$Z,4,FALSE)</f>
        <v>#N/A</v>
      </c>
      <c r="M15" s="114" t="e">
        <f>VLOOKUP('Luccini 2019'!E17,$Q:$Z,5,FALSE)</f>
        <v>#N/A</v>
      </c>
      <c r="N15" s="121">
        <f>(IF('Luccini 2019'!E17&lt;&gt;"",VLOOKUP('Luccini 2019'!E17,Q:Z,7,FALSE),"0")+('Luccini 2019'!Q17*1000))</f>
        <v>0</v>
      </c>
      <c r="O15" s="124"/>
      <c r="P15" s="116">
        <v>14</v>
      </c>
      <c r="Q15" s="139" t="s">
        <v>495</v>
      </c>
      <c r="R15" s="142">
        <v>6</v>
      </c>
      <c r="S15" s="142">
        <v>4</v>
      </c>
      <c r="T15" s="142">
        <v>2</v>
      </c>
      <c r="U15" s="142">
        <v>9</v>
      </c>
      <c r="V15" s="119" t="s">
        <v>72</v>
      </c>
      <c r="W15" s="143">
        <v>130000</v>
      </c>
      <c r="X15" s="143" t="s">
        <v>58</v>
      </c>
      <c r="Y15" s="143" t="s">
        <v>53</v>
      </c>
      <c r="Z15" s="143">
        <v>2</v>
      </c>
      <c r="AA15" s="376"/>
      <c r="AB15" s="103">
        <v>14</v>
      </c>
      <c r="AC15" s="120" t="s">
        <v>509</v>
      </c>
      <c r="AD15" s="121">
        <v>70000</v>
      </c>
      <c r="AE15" s="120" t="s">
        <v>509</v>
      </c>
      <c r="AF15" s="121">
        <v>0</v>
      </c>
      <c r="AG15" s="105"/>
      <c r="AH15" s="106">
        <f t="shared" si="0"/>
        <v>15</v>
      </c>
      <c r="AI15" s="107" t="str">
        <f t="shared" si="1"/>
        <v>**Joe Kane</v>
      </c>
      <c r="AJ15" s="108" t="str">
        <f>HLOOKUP('Luccini 2019'!K$24,AL$2:BK$24,15,FALSE)</f>
        <v>**Joe Kane</v>
      </c>
      <c r="AK15" s="105"/>
      <c r="AL15" s="98" t="s">
        <v>407</v>
      </c>
      <c r="AM15" s="98" t="s">
        <v>615</v>
      </c>
      <c r="AN15" s="98" t="s">
        <v>408</v>
      </c>
      <c r="AO15" s="98" t="s">
        <v>408</v>
      </c>
      <c r="AP15" s="129" t="s">
        <v>633</v>
      </c>
      <c r="AQ15" s="98" t="s">
        <v>412</v>
      </c>
      <c r="AR15" s="98"/>
      <c r="AS15" s="98" t="s">
        <v>413</v>
      </c>
      <c r="AT15" s="129" t="s">
        <v>604</v>
      </c>
      <c r="AU15" s="129" t="s">
        <v>239</v>
      </c>
      <c r="AV15" s="98" t="s">
        <v>615</v>
      </c>
      <c r="AW15" s="129" t="s">
        <v>244</v>
      </c>
      <c r="AX15" s="129" t="s">
        <v>606</v>
      </c>
      <c r="AY15" s="129" t="s">
        <v>469</v>
      </c>
      <c r="AZ15" s="98" t="s">
        <v>615</v>
      </c>
      <c r="BA15" s="98" t="s">
        <v>403</v>
      </c>
      <c r="BB15" s="129" t="s">
        <v>244</v>
      </c>
      <c r="BC15" s="129" t="s">
        <v>392</v>
      </c>
      <c r="BD15" s="98" t="s">
        <v>615</v>
      </c>
      <c r="BE15" s="129" t="s">
        <v>608</v>
      </c>
      <c r="BF15" s="129" t="s">
        <v>398</v>
      </c>
      <c r="BG15" s="129" t="s">
        <v>243</v>
      </c>
      <c r="BH15" s="98" t="s">
        <v>424</v>
      </c>
      <c r="BI15" s="129" t="s">
        <v>239</v>
      </c>
      <c r="BJ15" s="98" t="s">
        <v>615</v>
      </c>
      <c r="BK15" s="129" t="s">
        <v>244</v>
      </c>
      <c r="BL15" s="111"/>
    </row>
    <row r="16" spans="2:64" ht="18" customHeight="1">
      <c r="B16" s="93" t="s">
        <v>177</v>
      </c>
      <c r="G16" s="93" t="s">
        <v>284</v>
      </c>
      <c r="H16" s="96"/>
      <c r="I16" s="95">
        <v>1</v>
      </c>
      <c r="J16" s="114" t="e">
        <f>VLOOKUP('Luccini 2019'!E18,$Q:$Z,2,FALSE)</f>
        <v>#N/A</v>
      </c>
      <c r="K16" s="114" t="e">
        <f>VLOOKUP('Luccini 2019'!E18,$Q:$Z,3,FALSE)</f>
        <v>#N/A</v>
      </c>
      <c r="L16" s="114" t="e">
        <f>VLOOKUP('Luccini 2019'!E18,$Q:$Z,4,FALSE)</f>
        <v>#N/A</v>
      </c>
      <c r="M16" s="114" t="e">
        <f>VLOOKUP('Luccini 2019'!E18,$Q:$Z,5,FALSE)</f>
        <v>#N/A</v>
      </c>
      <c r="N16" s="121">
        <f>(IF('Luccini 2019'!E18&lt;&gt;"",VLOOKUP('Luccini 2019'!E18,Q:Z,7,FALSE),"0")+('Luccini 2019'!Q18*1000))</f>
        <v>0</v>
      </c>
      <c r="O16" s="124"/>
      <c r="P16" s="116">
        <v>15</v>
      </c>
      <c r="Q16" s="132" t="s">
        <v>496</v>
      </c>
      <c r="R16" s="133">
        <v>5</v>
      </c>
      <c r="S16" s="133">
        <v>5</v>
      </c>
      <c r="T16" s="133">
        <v>2</v>
      </c>
      <c r="U16" s="133">
        <v>8</v>
      </c>
      <c r="V16" s="134" t="s">
        <v>66</v>
      </c>
      <c r="W16" s="135">
        <v>150000</v>
      </c>
      <c r="X16" s="135" t="s">
        <v>73</v>
      </c>
      <c r="Y16" s="135" t="s">
        <v>4</v>
      </c>
      <c r="Z16" s="135">
        <v>1</v>
      </c>
      <c r="AA16" s="377"/>
      <c r="AB16" s="103">
        <v>15</v>
      </c>
      <c r="AC16" s="120" t="s">
        <v>111</v>
      </c>
      <c r="AD16" s="121">
        <v>60000</v>
      </c>
      <c r="AE16" s="120" t="s">
        <v>111</v>
      </c>
      <c r="AF16" s="121">
        <v>1</v>
      </c>
      <c r="AG16" s="105"/>
      <c r="AH16" s="106">
        <f t="shared" si="0"/>
        <v>16</v>
      </c>
      <c r="AI16" s="107" t="str">
        <f t="shared" si="1"/>
        <v>**Gino Mattanza</v>
      </c>
      <c r="AJ16" s="108" t="str">
        <f>HLOOKUP('Luccini 2019'!K$24,AL$2:BK$24,16,FALSE)</f>
        <v>**Gino Mattanza</v>
      </c>
      <c r="AK16" s="105"/>
      <c r="AL16" s="98" t="s">
        <v>411</v>
      </c>
      <c r="AN16" s="98" t="s">
        <v>615</v>
      </c>
      <c r="AO16" s="98" t="s">
        <v>615</v>
      </c>
      <c r="AP16" s="129" t="s">
        <v>51</v>
      </c>
      <c r="AQ16" s="129" t="s">
        <v>469</v>
      </c>
      <c r="AR16" s="129"/>
      <c r="AS16" s="98" t="s">
        <v>417</v>
      </c>
      <c r="AT16" s="98" t="s">
        <v>410</v>
      </c>
      <c r="AU16" s="129" t="s">
        <v>918</v>
      </c>
      <c r="AV16" s="129"/>
      <c r="AW16" s="129" t="s">
        <v>605</v>
      </c>
      <c r="AX16" s="98" t="s">
        <v>407</v>
      </c>
      <c r="AY16" s="98" t="s">
        <v>615</v>
      </c>
      <c r="AZ16" s="129"/>
      <c r="BA16" s="98" t="s">
        <v>406</v>
      </c>
      <c r="BB16" s="139" t="s">
        <v>607</v>
      </c>
      <c r="BC16" s="98" t="s">
        <v>409</v>
      </c>
      <c r="BD16" s="129"/>
      <c r="BE16" s="98" t="s">
        <v>405</v>
      </c>
      <c r="BF16" s="98" t="s">
        <v>403</v>
      </c>
      <c r="BG16" s="129" t="s">
        <v>609</v>
      </c>
      <c r="BH16" s="98" t="s">
        <v>615</v>
      </c>
      <c r="BI16" s="129" t="s">
        <v>243</v>
      </c>
      <c r="BJ16" s="98"/>
      <c r="BK16" s="129" t="s">
        <v>612</v>
      </c>
      <c r="BL16" s="111"/>
    </row>
    <row r="17" spans="7:64" ht="18" customHeight="1">
      <c r="G17" s="93" t="s">
        <v>276</v>
      </c>
      <c r="H17" s="96"/>
      <c r="I17" s="95">
        <v>1</v>
      </c>
      <c r="J17" s="114" t="e">
        <f>VLOOKUP('Luccini 2019'!E19,$Q:$Z,2,FALSE)</f>
        <v>#N/A</v>
      </c>
      <c r="K17" s="114" t="e">
        <f>VLOOKUP('Luccini 2019'!E19,$Q:$Z,3,FALSE)</f>
        <v>#N/A</v>
      </c>
      <c r="L17" s="114" t="e">
        <f>VLOOKUP('Luccini 2019'!E19,$Q:$Z,4,FALSE)</f>
        <v>#N/A</v>
      </c>
      <c r="M17" s="114" t="e">
        <f>VLOOKUP('Luccini 2019'!E19,$Q:$Z,5,FALSE)</f>
        <v>#N/A</v>
      </c>
      <c r="N17" s="121">
        <f>(IF('Luccini 2019'!E19&lt;&gt;"",VLOOKUP('Luccini 2019'!E19,Q:Z,7,FALSE),"0")+('Luccini 2019'!Q19*1000))</f>
        <v>0</v>
      </c>
      <c r="O17" s="124"/>
      <c r="P17" s="116">
        <v>16</v>
      </c>
      <c r="Q17" s="129" t="s">
        <v>498</v>
      </c>
      <c r="R17" s="130">
        <v>6</v>
      </c>
      <c r="S17" s="130">
        <v>3</v>
      </c>
      <c r="T17" s="130">
        <v>3</v>
      </c>
      <c r="U17" s="130">
        <v>8</v>
      </c>
      <c r="V17" s="119"/>
      <c r="W17" s="121">
        <v>50000</v>
      </c>
      <c r="X17" s="121" t="s">
        <v>294</v>
      </c>
      <c r="Y17" s="121" t="s">
        <v>35</v>
      </c>
      <c r="Z17" s="121">
        <v>12</v>
      </c>
      <c r="AA17" s="379" t="s">
        <v>497</v>
      </c>
      <c r="AB17" s="103">
        <v>16</v>
      </c>
      <c r="AC17" s="120" t="s">
        <v>520</v>
      </c>
      <c r="AD17" s="121">
        <v>70000</v>
      </c>
      <c r="AE17" s="120" t="s">
        <v>520</v>
      </c>
      <c r="AF17" s="121">
        <v>0</v>
      </c>
      <c r="AG17" s="105"/>
      <c r="AH17" s="106">
        <f t="shared" si="0"/>
      </c>
      <c r="AI17" s="107">
        <f t="shared" si="1"/>
      </c>
      <c r="AJ17" s="108">
        <f>HLOOKUP('Luccini 2019'!K$24,AL$2:BK$24,17,FALSE)</f>
        <v>0</v>
      </c>
      <c r="AK17" s="105"/>
      <c r="AL17" s="98" t="s">
        <v>615</v>
      </c>
      <c r="AN17" s="129"/>
      <c r="AO17" s="110"/>
      <c r="AP17" s="129" t="s">
        <v>245</v>
      </c>
      <c r="AQ17" s="98" t="s">
        <v>615</v>
      </c>
      <c r="AR17" s="129"/>
      <c r="AS17" s="98" t="s">
        <v>420</v>
      </c>
      <c r="AT17" s="98" t="s">
        <v>414</v>
      </c>
      <c r="AU17" s="129" t="s">
        <v>242</v>
      </c>
      <c r="AV17" s="129"/>
      <c r="AW17" s="98" t="s">
        <v>410</v>
      </c>
      <c r="AX17" s="98" t="s">
        <v>411</v>
      </c>
      <c r="AY17" s="129"/>
      <c r="AZ17" s="129"/>
      <c r="BA17" s="98" t="s">
        <v>615</v>
      </c>
      <c r="BB17" s="98" t="s">
        <v>471</v>
      </c>
      <c r="BC17" s="98" t="s">
        <v>408</v>
      </c>
      <c r="BD17" s="129"/>
      <c r="BE17" s="98" t="s">
        <v>470</v>
      </c>
      <c r="BF17" s="98" t="s">
        <v>406</v>
      </c>
      <c r="BG17" s="98" t="s">
        <v>471</v>
      </c>
      <c r="BH17" s="129"/>
      <c r="BI17" s="129" t="s">
        <v>611</v>
      </c>
      <c r="BJ17" s="129"/>
      <c r="BK17" s="98" t="s">
        <v>414</v>
      </c>
      <c r="BL17" s="111"/>
    </row>
    <row r="18" spans="7:64" ht="18" customHeight="1">
      <c r="G18" s="93" t="s">
        <v>277</v>
      </c>
      <c r="H18" s="96"/>
      <c r="I18" s="95">
        <v>1</v>
      </c>
      <c r="J18" s="114" t="e">
        <f>VLOOKUP('Luccini 2019'!E20,$Q:$Z,2,FALSE)</f>
        <v>#N/A</v>
      </c>
      <c r="K18" s="114" t="e">
        <f>VLOOKUP('Luccini 2019'!E20,$Q:$Z,3,FALSE)</f>
        <v>#N/A</v>
      </c>
      <c r="L18" s="114" t="e">
        <f>VLOOKUP('Luccini 2019'!E20,$Q:$Z,4,FALSE)</f>
        <v>#N/A</v>
      </c>
      <c r="M18" s="114" t="e">
        <f>VLOOKUP('Luccini 2019'!E20,$Q:$Z,5,FALSE)</f>
        <v>#N/A</v>
      </c>
      <c r="N18" s="121">
        <f>(IF('Luccini 2019'!E20&lt;&gt;"",VLOOKUP('Luccini 2019'!E20,Q:Z,7,FALSE),"0")+('Luccini 2019'!Q20*1000))</f>
        <v>0</v>
      </c>
      <c r="O18" s="124"/>
      <c r="P18" s="116">
        <v>17</v>
      </c>
      <c r="Q18" s="129" t="s">
        <v>499</v>
      </c>
      <c r="R18" s="130">
        <v>6</v>
      </c>
      <c r="S18" s="130">
        <v>2</v>
      </c>
      <c r="T18" s="130">
        <v>3</v>
      </c>
      <c r="U18" s="130">
        <v>7</v>
      </c>
      <c r="V18" s="119" t="s">
        <v>303</v>
      </c>
      <c r="W18" s="121">
        <v>40000</v>
      </c>
      <c r="X18" s="121" t="s">
        <v>295</v>
      </c>
      <c r="Y18" s="121" t="s">
        <v>96</v>
      </c>
      <c r="Z18" s="121">
        <v>1</v>
      </c>
      <c r="AA18" s="380"/>
      <c r="AB18" s="103">
        <v>17</v>
      </c>
      <c r="AC18" s="131" t="s">
        <v>30</v>
      </c>
      <c r="AD18" s="121">
        <v>60000</v>
      </c>
      <c r="AE18" s="131" t="s">
        <v>30</v>
      </c>
      <c r="AF18" s="121">
        <v>1</v>
      </c>
      <c r="AG18" s="105"/>
      <c r="AH18" s="106">
        <f t="shared" si="0"/>
      </c>
      <c r="AI18" s="107">
        <f t="shared" si="1"/>
      </c>
      <c r="AJ18" s="108">
        <f>HLOOKUP('Luccini 2019'!K$24,AL$2:BK$24,18,FALSE)</f>
        <v>0</v>
      </c>
      <c r="AK18" s="105"/>
      <c r="AM18" s="98"/>
      <c r="AN18" s="109"/>
      <c r="AO18" s="110"/>
      <c r="AP18" s="129" t="s">
        <v>602</v>
      </c>
      <c r="AQ18" s="109"/>
      <c r="AR18" s="109"/>
      <c r="AS18" s="98" t="s">
        <v>425</v>
      </c>
      <c r="AT18" s="98" t="s">
        <v>415</v>
      </c>
      <c r="AU18" s="129" t="s">
        <v>383</v>
      </c>
      <c r="AV18" s="109"/>
      <c r="AW18" s="98" t="s">
        <v>415</v>
      </c>
      <c r="AX18" s="98" t="s">
        <v>417</v>
      </c>
      <c r="AY18" s="129"/>
      <c r="AZ18" s="129"/>
      <c r="BA18" s="110"/>
      <c r="BB18" s="98" t="s">
        <v>407</v>
      </c>
      <c r="BC18" s="98" t="s">
        <v>615</v>
      </c>
      <c r="BD18" s="129"/>
      <c r="BE18" s="98" t="s">
        <v>423</v>
      </c>
      <c r="BF18" s="129" t="s">
        <v>469</v>
      </c>
      <c r="BG18" s="98" t="s">
        <v>416</v>
      </c>
      <c r="BH18" s="129"/>
      <c r="BI18" s="98" t="s">
        <v>426</v>
      </c>
      <c r="BJ18" s="145"/>
      <c r="BK18" s="98" t="s">
        <v>415</v>
      </c>
      <c r="BL18" s="111"/>
    </row>
    <row r="19" spans="7:64" ht="18" customHeight="1">
      <c r="G19" s="93" t="s">
        <v>278</v>
      </c>
      <c r="H19" s="94"/>
      <c r="I19" s="95"/>
      <c r="J19" s="95"/>
      <c r="K19" s="95"/>
      <c r="L19" s="95"/>
      <c r="M19" s="95"/>
      <c r="N19" s="95"/>
      <c r="O19" s="96"/>
      <c r="P19" s="116">
        <v>18</v>
      </c>
      <c r="Q19" s="129" t="s">
        <v>655</v>
      </c>
      <c r="R19" s="130">
        <v>5</v>
      </c>
      <c r="S19" s="130">
        <v>3</v>
      </c>
      <c r="T19" s="130">
        <v>3</v>
      </c>
      <c r="U19" s="130">
        <v>9</v>
      </c>
      <c r="V19" s="119" t="s">
        <v>293</v>
      </c>
      <c r="W19" s="121">
        <v>50000</v>
      </c>
      <c r="X19" s="121" t="s">
        <v>37</v>
      </c>
      <c r="Y19" s="121" t="s">
        <v>55</v>
      </c>
      <c r="Z19" s="121">
        <v>1</v>
      </c>
      <c r="AA19" s="380"/>
      <c r="AB19" s="103">
        <v>18</v>
      </c>
      <c r="AC19" s="120" t="s">
        <v>39</v>
      </c>
      <c r="AD19" s="121">
        <v>70000</v>
      </c>
      <c r="AE19" s="120" t="s">
        <v>39</v>
      </c>
      <c r="AF19" s="121">
        <v>0</v>
      </c>
      <c r="AG19" s="105"/>
      <c r="AH19" s="106">
        <f t="shared" si="0"/>
      </c>
      <c r="AI19" s="107">
        <f t="shared" si="1"/>
      </c>
      <c r="AJ19" s="108">
        <f>HLOOKUP('Luccini 2019'!K$24,AL$2:BK$24,19,FALSE)</f>
        <v>0</v>
      </c>
      <c r="AK19" s="105"/>
      <c r="AL19" s="98"/>
      <c r="AN19" s="109"/>
      <c r="AO19" s="110"/>
      <c r="AP19" s="98" t="s">
        <v>416</v>
      </c>
      <c r="AQ19" s="109"/>
      <c r="AR19" s="109"/>
      <c r="AS19" s="98" t="s">
        <v>615</v>
      </c>
      <c r="AT19" s="98" t="s">
        <v>418</v>
      </c>
      <c r="AU19" s="98" t="s">
        <v>405</v>
      </c>
      <c r="AV19" s="109"/>
      <c r="AW19" s="98" t="s">
        <v>418</v>
      </c>
      <c r="AX19" s="98" t="s">
        <v>404</v>
      </c>
      <c r="AY19" s="109"/>
      <c r="AZ19" s="110"/>
      <c r="BA19" s="110"/>
      <c r="BB19" s="98" t="s">
        <v>411</v>
      </c>
      <c r="BC19" s="110"/>
      <c r="BD19" s="110"/>
      <c r="BE19" s="98" t="s">
        <v>421</v>
      </c>
      <c r="BF19" s="98" t="s">
        <v>615</v>
      </c>
      <c r="BG19" s="98" t="s">
        <v>419</v>
      </c>
      <c r="BH19" s="110"/>
      <c r="BI19" s="98" t="s">
        <v>614</v>
      </c>
      <c r="BJ19" s="110"/>
      <c r="BK19" s="98" t="s">
        <v>418</v>
      </c>
      <c r="BL19" s="111"/>
    </row>
    <row r="20" spans="7:64" ht="18" customHeight="1">
      <c r="G20" s="93" t="s">
        <v>289</v>
      </c>
      <c r="H20" s="94"/>
      <c r="I20" s="95"/>
      <c r="J20" s="95"/>
      <c r="K20" s="95"/>
      <c r="L20" s="95"/>
      <c r="M20" s="95"/>
      <c r="N20" s="95"/>
      <c r="O20" s="96"/>
      <c r="P20" s="116">
        <v>19</v>
      </c>
      <c r="Q20" s="129" t="s">
        <v>500</v>
      </c>
      <c r="R20" s="130">
        <v>7</v>
      </c>
      <c r="S20" s="130">
        <v>3</v>
      </c>
      <c r="T20" s="130">
        <v>3</v>
      </c>
      <c r="U20" s="130">
        <v>7</v>
      </c>
      <c r="V20" s="119" t="s">
        <v>293</v>
      </c>
      <c r="W20" s="121">
        <v>50000</v>
      </c>
      <c r="X20" s="121" t="s">
        <v>37</v>
      </c>
      <c r="Y20" s="121" t="s">
        <v>55</v>
      </c>
      <c r="Z20" s="121">
        <v>1</v>
      </c>
      <c r="AA20" s="380"/>
      <c r="AB20" s="103">
        <v>19</v>
      </c>
      <c r="AC20" s="120" t="s">
        <v>38</v>
      </c>
      <c r="AD20" s="121">
        <v>70000</v>
      </c>
      <c r="AE20" s="120" t="s">
        <v>38</v>
      </c>
      <c r="AF20" s="121">
        <v>1</v>
      </c>
      <c r="AG20" s="105"/>
      <c r="AH20" s="106">
        <f t="shared" si="0"/>
      </c>
      <c r="AI20" s="107">
        <f t="shared" si="1"/>
      </c>
      <c r="AJ20" s="108">
        <f>HLOOKUP('Luccini 2019'!K$24,AL$2:BK$24,20,FALSE)</f>
        <v>0</v>
      </c>
      <c r="AK20" s="105"/>
      <c r="AN20" s="109"/>
      <c r="AO20" s="110"/>
      <c r="AP20" s="98" t="s">
        <v>412</v>
      </c>
      <c r="AQ20" s="109"/>
      <c r="AR20" s="109"/>
      <c r="AS20" s="110"/>
      <c r="AT20" s="98" t="s">
        <v>422</v>
      </c>
      <c r="AU20" s="98" t="s">
        <v>470</v>
      </c>
      <c r="AV20" s="109"/>
      <c r="AW20" s="98" t="s">
        <v>422</v>
      </c>
      <c r="AX20" s="98" t="s">
        <v>419</v>
      </c>
      <c r="AY20" s="109"/>
      <c r="AZ20" s="110"/>
      <c r="BA20" s="110"/>
      <c r="BB20" s="98" t="s">
        <v>613</v>
      </c>
      <c r="BC20" s="110"/>
      <c r="BD20" s="110"/>
      <c r="BE20" s="98" t="s">
        <v>428</v>
      </c>
      <c r="BF20" s="109"/>
      <c r="BG20" s="98" t="s">
        <v>424</v>
      </c>
      <c r="BH20" s="110"/>
      <c r="BI20" s="98" t="s">
        <v>615</v>
      </c>
      <c r="BJ20" s="110"/>
      <c r="BK20" s="98" t="s">
        <v>422</v>
      </c>
      <c r="BL20" s="111"/>
    </row>
    <row r="21" spans="7:64" ht="18" customHeight="1">
      <c r="G21" s="93" t="s">
        <v>279</v>
      </c>
      <c r="H21" s="94"/>
      <c r="I21" s="95"/>
      <c r="J21" s="95"/>
      <c r="K21" s="95"/>
      <c r="L21" s="95"/>
      <c r="M21" s="95"/>
      <c r="N21" s="95"/>
      <c r="O21" s="96"/>
      <c r="P21" s="116">
        <v>20</v>
      </c>
      <c r="Q21" s="129" t="s">
        <v>501</v>
      </c>
      <c r="R21" s="130">
        <v>6</v>
      </c>
      <c r="S21" s="130">
        <v>3</v>
      </c>
      <c r="T21" s="130">
        <v>4</v>
      </c>
      <c r="U21" s="130">
        <v>8</v>
      </c>
      <c r="V21" s="119" t="s">
        <v>293</v>
      </c>
      <c r="W21" s="121">
        <v>70000</v>
      </c>
      <c r="X21" s="121" t="s">
        <v>296</v>
      </c>
      <c r="Y21" s="121" t="s">
        <v>57</v>
      </c>
      <c r="Z21" s="121">
        <v>1</v>
      </c>
      <c r="AA21" s="380"/>
      <c r="AB21" s="103">
        <v>20</v>
      </c>
      <c r="AC21" s="120" t="s">
        <v>134</v>
      </c>
      <c r="AD21" s="121">
        <v>60000</v>
      </c>
      <c r="AE21" s="120" t="s">
        <v>134</v>
      </c>
      <c r="AF21" s="121">
        <v>1</v>
      </c>
      <c r="AG21" s="105"/>
      <c r="AH21" s="106">
        <f t="shared" si="0"/>
      </c>
      <c r="AI21" s="107">
        <f t="shared" si="1"/>
      </c>
      <c r="AJ21" s="108">
        <f>HLOOKUP('Luccini 2019'!K$24,AL$2:BK$24,21,FALSE)</f>
        <v>0</v>
      </c>
      <c r="AK21" s="105"/>
      <c r="AM21" s="109"/>
      <c r="AN21" s="109"/>
      <c r="AO21" s="110"/>
      <c r="AP21" s="98" t="s">
        <v>615</v>
      </c>
      <c r="AQ21" s="109"/>
      <c r="AR21" s="109"/>
      <c r="AS21" s="110"/>
      <c r="AT21" s="98" t="s">
        <v>427</v>
      </c>
      <c r="AU21" s="98" t="s">
        <v>421</v>
      </c>
      <c r="AV21" s="109"/>
      <c r="AW21" s="98" t="s">
        <v>598</v>
      </c>
      <c r="AX21" s="98" t="s">
        <v>406</v>
      </c>
      <c r="AY21" s="109"/>
      <c r="AZ21" s="110"/>
      <c r="BA21" s="110"/>
      <c r="BB21" s="98" t="s">
        <v>615</v>
      </c>
      <c r="BC21" s="110"/>
      <c r="BD21" s="110"/>
      <c r="BE21" s="98" t="s">
        <v>614</v>
      </c>
      <c r="BF21" s="109"/>
      <c r="BG21" s="98" t="s">
        <v>426</v>
      </c>
      <c r="BH21" s="110"/>
      <c r="BI21" s="93"/>
      <c r="BJ21" s="110"/>
      <c r="BK21" s="98" t="s">
        <v>471</v>
      </c>
      <c r="BL21" s="111"/>
    </row>
    <row r="22" spans="7:64" ht="18" customHeight="1">
      <c r="G22" s="93" t="s">
        <v>280</v>
      </c>
      <c r="H22" s="94"/>
      <c r="I22" s="95"/>
      <c r="J22" s="146">
        <v>1</v>
      </c>
      <c r="K22" s="95"/>
      <c r="L22" s="95"/>
      <c r="M22" s="95"/>
      <c r="N22" s="95"/>
      <c r="O22" s="96"/>
      <c r="P22" s="116">
        <v>21</v>
      </c>
      <c r="Q22" s="129" t="s">
        <v>502</v>
      </c>
      <c r="R22" s="130">
        <v>4</v>
      </c>
      <c r="S22" s="130">
        <v>5</v>
      </c>
      <c r="T22" s="130">
        <v>1</v>
      </c>
      <c r="U22" s="130">
        <v>9</v>
      </c>
      <c r="V22" s="119" t="s">
        <v>95</v>
      </c>
      <c r="W22" s="121">
        <v>110000</v>
      </c>
      <c r="X22" s="121" t="s">
        <v>73</v>
      </c>
      <c r="Y22" s="121" t="s">
        <v>4</v>
      </c>
      <c r="Z22" s="121">
        <v>1</v>
      </c>
      <c r="AA22" s="380"/>
      <c r="AB22" s="103">
        <v>21</v>
      </c>
      <c r="AC22" s="120" t="s">
        <v>521</v>
      </c>
      <c r="AD22" s="121">
        <v>70000</v>
      </c>
      <c r="AE22" s="120" t="s">
        <v>521</v>
      </c>
      <c r="AF22" s="121">
        <v>0</v>
      </c>
      <c r="AG22" s="105"/>
      <c r="AH22" s="106">
        <f t="shared" si="0"/>
      </c>
      <c r="AI22" s="107">
        <f t="shared" si="1"/>
      </c>
      <c r="AJ22" s="108">
        <f>HLOOKUP('Luccini 2019'!K$24,AL$2:BK$24,22,FALSE)</f>
        <v>0</v>
      </c>
      <c r="AK22" s="105"/>
      <c r="AL22" s="109"/>
      <c r="AM22" s="109"/>
      <c r="AN22" s="109"/>
      <c r="AO22" s="110"/>
      <c r="AP22" s="110"/>
      <c r="AQ22" s="109"/>
      <c r="AR22" s="109"/>
      <c r="AS22" s="110"/>
      <c r="AT22" s="98" t="s">
        <v>412</v>
      </c>
      <c r="AU22" s="98" t="s">
        <v>615</v>
      </c>
      <c r="AV22" s="109"/>
      <c r="AW22" s="98" t="s">
        <v>615</v>
      </c>
      <c r="AX22" s="98" t="s">
        <v>615</v>
      </c>
      <c r="AY22" s="109"/>
      <c r="AZ22" s="110"/>
      <c r="BA22" s="110"/>
      <c r="BB22" s="110"/>
      <c r="BC22" s="110"/>
      <c r="BD22" s="110"/>
      <c r="BE22" s="98" t="s">
        <v>615</v>
      </c>
      <c r="BF22" s="109"/>
      <c r="BG22" s="98" t="s">
        <v>615</v>
      </c>
      <c r="BH22" s="110"/>
      <c r="BI22" s="109"/>
      <c r="BJ22" s="110"/>
      <c r="BK22" s="98" t="s">
        <v>427</v>
      </c>
      <c r="BL22" s="111"/>
    </row>
    <row r="23" spans="7:64" ht="18" customHeight="1">
      <c r="G23" s="93" t="s">
        <v>285</v>
      </c>
      <c r="H23" s="94"/>
      <c r="I23" s="95"/>
      <c r="J23" s="95"/>
      <c r="K23" s="95"/>
      <c r="L23" s="95"/>
      <c r="M23" s="95"/>
      <c r="N23" s="95"/>
      <c r="O23" s="96"/>
      <c r="P23" s="116">
        <v>22</v>
      </c>
      <c r="Q23" s="129" t="s">
        <v>503</v>
      </c>
      <c r="R23" s="130">
        <v>5</v>
      </c>
      <c r="S23" s="130">
        <v>5</v>
      </c>
      <c r="T23" s="130">
        <v>2</v>
      </c>
      <c r="U23" s="130">
        <v>9</v>
      </c>
      <c r="V23" s="119" t="s">
        <v>105</v>
      </c>
      <c r="W23" s="121">
        <v>140000</v>
      </c>
      <c r="X23" s="121" t="s">
        <v>73</v>
      </c>
      <c r="Y23" s="121" t="s">
        <v>4</v>
      </c>
      <c r="Z23" s="121">
        <v>1</v>
      </c>
      <c r="AA23" s="380"/>
      <c r="AB23" s="103">
        <v>22</v>
      </c>
      <c r="AC23" s="131" t="s">
        <v>31</v>
      </c>
      <c r="AD23" s="121">
        <v>60000</v>
      </c>
      <c r="AE23" s="131" t="s">
        <v>31</v>
      </c>
      <c r="AF23" s="121">
        <v>1</v>
      </c>
      <c r="AG23" s="105"/>
      <c r="AH23" s="106">
        <f t="shared" si="0"/>
      </c>
      <c r="AI23" s="107">
        <f t="shared" si="1"/>
      </c>
      <c r="AJ23" s="108">
        <f>HLOOKUP('Luccini 2019'!K$24,AL$2:BK$24,23,FALSE)</f>
        <v>0</v>
      </c>
      <c r="AK23" s="105"/>
      <c r="AL23" s="109"/>
      <c r="AM23" s="109"/>
      <c r="AN23" s="109"/>
      <c r="AO23" s="110"/>
      <c r="AP23" s="110"/>
      <c r="AQ23" s="109"/>
      <c r="AR23" s="109"/>
      <c r="AS23" s="110"/>
      <c r="AT23" s="98" t="s">
        <v>615</v>
      </c>
      <c r="AU23" s="98"/>
      <c r="AV23" s="109"/>
      <c r="AW23" s="109"/>
      <c r="AX23" s="110"/>
      <c r="AY23" s="109"/>
      <c r="AZ23" s="110"/>
      <c r="BA23" s="110"/>
      <c r="BB23" s="110"/>
      <c r="BC23" s="110"/>
      <c r="BD23" s="110"/>
      <c r="BE23" s="110"/>
      <c r="BF23" s="109"/>
      <c r="BG23" s="110"/>
      <c r="BH23" s="110"/>
      <c r="BI23" s="109"/>
      <c r="BJ23" s="110"/>
      <c r="BK23" s="98" t="s">
        <v>615</v>
      </c>
      <c r="BL23" s="111"/>
    </row>
    <row r="24" spans="7:64" ht="18" customHeight="1">
      <c r="G24" s="93" t="s">
        <v>281</v>
      </c>
      <c r="H24" s="94"/>
      <c r="I24" s="95"/>
      <c r="J24" s="108"/>
      <c r="K24" s="95"/>
      <c r="L24" s="95"/>
      <c r="M24" s="95"/>
      <c r="N24" s="95"/>
      <c r="O24" s="96"/>
      <c r="P24" s="116">
        <v>23</v>
      </c>
      <c r="Q24" s="132" t="s">
        <v>369</v>
      </c>
      <c r="R24" s="133">
        <v>5</v>
      </c>
      <c r="S24" s="133">
        <v>5</v>
      </c>
      <c r="T24" s="133">
        <v>2</v>
      </c>
      <c r="U24" s="133">
        <v>8</v>
      </c>
      <c r="V24" s="134" t="s">
        <v>66</v>
      </c>
      <c r="W24" s="135">
        <v>150000</v>
      </c>
      <c r="X24" s="135" t="s">
        <v>73</v>
      </c>
      <c r="Y24" s="135" t="s">
        <v>4</v>
      </c>
      <c r="Z24" s="135">
        <v>1</v>
      </c>
      <c r="AA24" s="381"/>
      <c r="AB24" s="103">
        <v>23</v>
      </c>
      <c r="AC24" s="120" t="s">
        <v>297</v>
      </c>
      <c r="AD24" s="121">
        <v>50000</v>
      </c>
      <c r="AE24" s="120" t="s">
        <v>297</v>
      </c>
      <c r="AF24" s="121">
        <v>1</v>
      </c>
      <c r="AG24" s="105"/>
      <c r="AH24" s="103"/>
      <c r="AI24" s="121"/>
      <c r="AJ24" s="108"/>
      <c r="AK24" s="105"/>
      <c r="AL24" s="109"/>
      <c r="AM24" s="109"/>
      <c r="AN24" s="109"/>
      <c r="AO24" s="110"/>
      <c r="AP24" s="110"/>
      <c r="AQ24" s="109"/>
      <c r="AR24" s="109"/>
      <c r="AS24" s="110"/>
      <c r="AT24" s="109"/>
      <c r="AU24" s="109"/>
      <c r="AV24" s="109"/>
      <c r="AW24" s="109"/>
      <c r="AX24" s="110"/>
      <c r="AY24" s="109"/>
      <c r="AZ24" s="110"/>
      <c r="BA24" s="110"/>
      <c r="BB24" s="110"/>
      <c r="BC24" s="110"/>
      <c r="BD24" s="110"/>
      <c r="BE24" s="110"/>
      <c r="BF24" s="109"/>
      <c r="BG24" s="110"/>
      <c r="BH24" s="110"/>
      <c r="BI24" s="109"/>
      <c r="BJ24" s="110"/>
      <c r="BK24" s="109"/>
      <c r="BL24" s="111"/>
    </row>
    <row r="25" spans="7:64" ht="18" customHeight="1">
      <c r="G25" s="93" t="s">
        <v>286</v>
      </c>
      <c r="H25" s="94"/>
      <c r="I25" s="95"/>
      <c r="J25" s="95"/>
      <c r="K25" s="95"/>
      <c r="L25" s="95"/>
      <c r="M25" s="95"/>
      <c r="N25" s="95"/>
      <c r="O25" s="96"/>
      <c r="P25" s="116">
        <v>24</v>
      </c>
      <c r="Q25" s="125" t="s">
        <v>533</v>
      </c>
      <c r="R25" s="126">
        <v>6</v>
      </c>
      <c r="S25" s="126">
        <v>3</v>
      </c>
      <c r="T25" s="126">
        <v>4</v>
      </c>
      <c r="U25" s="126">
        <v>8</v>
      </c>
      <c r="V25" s="127"/>
      <c r="W25" s="128">
        <v>70000</v>
      </c>
      <c r="X25" s="128" t="s">
        <v>54</v>
      </c>
      <c r="Y25" s="128" t="s">
        <v>57</v>
      </c>
      <c r="Z25" s="128">
        <v>16</v>
      </c>
      <c r="AA25" s="373" t="s">
        <v>74</v>
      </c>
      <c r="AB25" s="103">
        <v>24</v>
      </c>
      <c r="AC25" s="120" t="s">
        <v>305</v>
      </c>
      <c r="AD25" s="121">
        <v>70000</v>
      </c>
      <c r="AE25" s="120" t="s">
        <v>305</v>
      </c>
      <c r="AF25" s="121">
        <v>1</v>
      </c>
      <c r="AG25" s="105"/>
      <c r="AH25" s="103"/>
      <c r="AI25" s="121"/>
      <c r="AJ25" s="108"/>
      <c r="AK25" s="105"/>
      <c r="AL25" s="109"/>
      <c r="AM25" s="109"/>
      <c r="AN25" s="109"/>
      <c r="AO25" s="110"/>
      <c r="AP25" s="110"/>
      <c r="AQ25" s="109"/>
      <c r="AR25" s="109"/>
      <c r="AS25" s="110"/>
      <c r="AT25" s="109"/>
      <c r="AU25" s="109"/>
      <c r="AV25" s="109"/>
      <c r="AW25" s="109"/>
      <c r="AX25" s="110"/>
      <c r="AY25" s="109"/>
      <c r="AZ25" s="110"/>
      <c r="BA25" s="110"/>
      <c r="BB25" s="110"/>
      <c r="BC25" s="110"/>
      <c r="BD25" s="110"/>
      <c r="BE25" s="110"/>
      <c r="BF25" s="109"/>
      <c r="BG25" s="110"/>
      <c r="BH25" s="110"/>
      <c r="BI25" s="109"/>
      <c r="BJ25" s="110"/>
      <c r="BK25" s="109"/>
      <c r="BL25" s="111"/>
    </row>
    <row r="26" spans="7:64" ht="18" customHeight="1">
      <c r="G26" s="93" t="s">
        <v>282</v>
      </c>
      <c r="H26" s="94"/>
      <c r="I26" s="95"/>
      <c r="J26" s="95"/>
      <c r="K26" s="95"/>
      <c r="L26" s="95"/>
      <c r="M26" s="95"/>
      <c r="N26" s="95"/>
      <c r="O26" s="96"/>
      <c r="P26" s="116">
        <v>25</v>
      </c>
      <c r="Q26" s="129" t="s">
        <v>534</v>
      </c>
      <c r="R26" s="130">
        <v>7</v>
      </c>
      <c r="S26" s="130">
        <v>3</v>
      </c>
      <c r="T26" s="130">
        <v>4</v>
      </c>
      <c r="U26" s="130">
        <v>7</v>
      </c>
      <c r="V26" s="119" t="s">
        <v>76</v>
      </c>
      <c r="W26" s="121">
        <v>80000</v>
      </c>
      <c r="X26" s="121" t="s">
        <v>24</v>
      </c>
      <c r="Y26" s="121" t="s">
        <v>73</v>
      </c>
      <c r="Z26" s="121">
        <v>2</v>
      </c>
      <c r="AA26" s="374"/>
      <c r="AB26" s="103">
        <v>25</v>
      </c>
      <c r="AC26" s="120" t="s">
        <v>25</v>
      </c>
      <c r="AD26" s="121">
        <v>70000</v>
      </c>
      <c r="AE26" s="120" t="s">
        <v>25</v>
      </c>
      <c r="AF26" s="121">
        <v>1</v>
      </c>
      <c r="AG26" s="105"/>
      <c r="AH26" s="103"/>
      <c r="AI26" s="121"/>
      <c r="AJ26" s="108"/>
      <c r="AK26" s="105"/>
      <c r="AL26" s="109"/>
      <c r="AM26" s="109"/>
      <c r="AN26" s="109"/>
      <c r="AO26" s="110"/>
      <c r="AP26" s="110"/>
      <c r="AQ26" s="109"/>
      <c r="AR26" s="109"/>
      <c r="AS26" s="110"/>
      <c r="AT26" s="109"/>
      <c r="AU26" s="109"/>
      <c r="AV26" s="109"/>
      <c r="AW26" s="109"/>
      <c r="AX26" s="110"/>
      <c r="AY26" s="109"/>
      <c r="AZ26" s="110"/>
      <c r="BA26" s="110"/>
      <c r="BB26" s="110"/>
      <c r="BC26" s="110"/>
      <c r="BD26" s="110"/>
      <c r="BE26" s="110"/>
      <c r="BF26" s="109"/>
      <c r="BG26" s="110"/>
      <c r="BH26" s="110"/>
      <c r="BI26" s="109"/>
      <c r="BJ26" s="110"/>
      <c r="BK26" s="109"/>
      <c r="BL26" s="111"/>
    </row>
    <row r="27" spans="8:64" ht="18" customHeight="1">
      <c r="H27" s="94"/>
      <c r="I27" s="95"/>
      <c r="J27" s="95"/>
      <c r="K27" s="95"/>
      <c r="L27" s="95"/>
      <c r="M27" s="95"/>
      <c r="N27" s="95"/>
      <c r="O27" s="96"/>
      <c r="P27" s="116">
        <v>26</v>
      </c>
      <c r="Q27" s="129" t="s">
        <v>77</v>
      </c>
      <c r="R27" s="130">
        <v>6</v>
      </c>
      <c r="S27" s="130">
        <v>3</v>
      </c>
      <c r="T27" s="130">
        <v>4</v>
      </c>
      <c r="U27" s="130">
        <v>7</v>
      </c>
      <c r="V27" s="119" t="s">
        <v>78</v>
      </c>
      <c r="W27" s="121">
        <v>90000</v>
      </c>
      <c r="X27" s="121" t="s">
        <v>54</v>
      </c>
      <c r="Y27" s="121" t="s">
        <v>57</v>
      </c>
      <c r="Z27" s="121">
        <v>2</v>
      </c>
      <c r="AA27" s="374"/>
      <c r="AB27" s="103">
        <v>26</v>
      </c>
      <c r="AC27" s="131" t="s">
        <v>144</v>
      </c>
      <c r="AD27" s="121">
        <v>50000</v>
      </c>
      <c r="AE27" s="131" t="s">
        <v>144</v>
      </c>
      <c r="AF27" s="121">
        <v>1</v>
      </c>
      <c r="AG27" s="105"/>
      <c r="AH27" s="103"/>
      <c r="AI27" s="121"/>
      <c r="AJ27" s="108"/>
      <c r="AK27" s="105"/>
      <c r="AL27" s="109"/>
      <c r="AM27" s="109"/>
      <c r="AN27" s="109"/>
      <c r="AO27" s="110"/>
      <c r="AP27" s="110"/>
      <c r="AQ27" s="109"/>
      <c r="AR27" s="109"/>
      <c r="AS27" s="110"/>
      <c r="AT27" s="109"/>
      <c r="AU27" s="109"/>
      <c r="AV27" s="109"/>
      <c r="AW27" s="109"/>
      <c r="AX27" s="110"/>
      <c r="AY27" s="109"/>
      <c r="AZ27" s="110"/>
      <c r="BA27" s="110"/>
      <c r="BB27" s="110"/>
      <c r="BC27" s="110"/>
      <c r="BD27" s="110"/>
      <c r="BE27" s="110"/>
      <c r="BF27" s="109"/>
      <c r="BG27" s="110"/>
      <c r="BH27" s="110"/>
      <c r="BI27" s="109"/>
      <c r="BJ27" s="110"/>
      <c r="BK27" s="109"/>
      <c r="BL27" s="111"/>
    </row>
    <row r="28" spans="7:64" ht="18" customHeight="1">
      <c r="G28" s="326"/>
      <c r="H28" s="96"/>
      <c r="I28" s="95"/>
      <c r="J28" s="95"/>
      <c r="K28" s="95"/>
      <c r="L28" s="95"/>
      <c r="M28" s="95"/>
      <c r="N28" s="95"/>
      <c r="O28" s="96"/>
      <c r="P28" s="116">
        <v>27</v>
      </c>
      <c r="Q28" s="129" t="s">
        <v>535</v>
      </c>
      <c r="R28" s="130">
        <v>7</v>
      </c>
      <c r="S28" s="130">
        <v>3</v>
      </c>
      <c r="T28" s="130">
        <v>4</v>
      </c>
      <c r="U28" s="130">
        <v>8</v>
      </c>
      <c r="V28" s="119" t="s">
        <v>75</v>
      </c>
      <c r="W28" s="121">
        <v>100000</v>
      </c>
      <c r="X28" s="121" t="s">
        <v>54</v>
      </c>
      <c r="Y28" s="121" t="s">
        <v>57</v>
      </c>
      <c r="Z28" s="121">
        <v>4</v>
      </c>
      <c r="AA28" s="374"/>
      <c r="AB28" s="103">
        <v>27</v>
      </c>
      <c r="AC28" s="124"/>
      <c r="AD28" s="121"/>
      <c r="AE28" s="105"/>
      <c r="AF28" s="121"/>
      <c r="AG28" s="105"/>
      <c r="AH28" s="103"/>
      <c r="AI28" s="121"/>
      <c r="AJ28" s="108"/>
      <c r="AK28" s="105"/>
      <c r="AL28" s="109"/>
      <c r="AM28" s="109"/>
      <c r="AN28" s="109"/>
      <c r="AO28" s="110"/>
      <c r="AP28" s="110"/>
      <c r="AQ28" s="109"/>
      <c r="AR28" s="109"/>
      <c r="AS28" s="110"/>
      <c r="AT28" s="109"/>
      <c r="AU28" s="109"/>
      <c r="AV28" s="109"/>
      <c r="AW28" s="109"/>
      <c r="AX28" s="110"/>
      <c r="AY28" s="109"/>
      <c r="AZ28" s="110"/>
      <c r="BA28" s="110"/>
      <c r="BB28" s="110"/>
      <c r="BC28" s="110"/>
      <c r="BD28" s="110"/>
      <c r="BE28" s="110"/>
      <c r="BF28" s="109"/>
      <c r="BG28" s="110"/>
      <c r="BH28" s="110"/>
      <c r="BI28" s="109"/>
      <c r="BJ28" s="110"/>
      <c r="BK28" s="109"/>
      <c r="BL28" s="111"/>
    </row>
    <row r="29" spans="7:64" ht="18" customHeight="1">
      <c r="G29" s="326"/>
      <c r="H29" s="96"/>
      <c r="I29" s="95"/>
      <c r="J29" s="95"/>
      <c r="K29" s="95"/>
      <c r="L29" s="95"/>
      <c r="M29" s="95"/>
      <c r="N29" s="95"/>
      <c r="O29" s="96"/>
      <c r="P29" s="116">
        <v>28</v>
      </c>
      <c r="Q29" s="132" t="s">
        <v>79</v>
      </c>
      <c r="R29" s="133">
        <v>7</v>
      </c>
      <c r="S29" s="133">
        <v>3</v>
      </c>
      <c r="T29" s="133">
        <v>4</v>
      </c>
      <c r="U29" s="133">
        <v>7</v>
      </c>
      <c r="V29" s="134" t="s">
        <v>80</v>
      </c>
      <c r="W29" s="135">
        <v>110000</v>
      </c>
      <c r="X29" s="135" t="s">
        <v>54</v>
      </c>
      <c r="Y29" s="135" t="s">
        <v>57</v>
      </c>
      <c r="Z29" s="135">
        <v>2</v>
      </c>
      <c r="AA29" s="378"/>
      <c r="AB29" s="103"/>
      <c r="AC29" s="124"/>
      <c r="AD29" s="121"/>
      <c r="AE29" s="105"/>
      <c r="AF29" s="121"/>
      <c r="AG29" s="105"/>
      <c r="AL29" s="109"/>
      <c r="AP29" s="110"/>
      <c r="AT29" s="109"/>
      <c r="AU29" s="109"/>
      <c r="AV29" s="109"/>
      <c r="AW29" s="109"/>
      <c r="AX29" s="110"/>
      <c r="BB29" s="110"/>
      <c r="BG29" s="110"/>
      <c r="BI29" s="109"/>
      <c r="BK29" s="109"/>
      <c r="BL29" s="111"/>
    </row>
    <row r="30" spans="8:64" ht="18" customHeight="1">
      <c r="H30" s="96"/>
      <c r="I30" s="95"/>
      <c r="J30" s="95"/>
      <c r="K30" s="95"/>
      <c r="L30" s="95"/>
      <c r="M30" s="95"/>
      <c r="N30" s="95"/>
      <c r="O30" s="96"/>
      <c r="P30" s="116">
        <v>29</v>
      </c>
      <c r="Q30" s="129" t="s">
        <v>460</v>
      </c>
      <c r="R30" s="130">
        <v>6</v>
      </c>
      <c r="S30" s="130">
        <v>3</v>
      </c>
      <c r="T30" s="130">
        <v>3</v>
      </c>
      <c r="U30" s="130">
        <v>8</v>
      </c>
      <c r="V30" s="119" t="s">
        <v>122</v>
      </c>
      <c r="W30" s="121">
        <v>60000</v>
      </c>
      <c r="X30" s="121" t="s">
        <v>52</v>
      </c>
      <c r="Y30" s="121" t="s">
        <v>56</v>
      </c>
      <c r="Z30" s="121">
        <v>16</v>
      </c>
      <c r="AA30" s="379" t="s">
        <v>459</v>
      </c>
      <c r="AB30" s="103"/>
      <c r="AC30" s="124"/>
      <c r="AD30" s="121"/>
      <c r="AE30" s="105"/>
      <c r="AF30" s="121"/>
      <c r="AG30" s="105"/>
      <c r="AT30" s="109"/>
      <c r="AW30" s="109"/>
      <c r="BG30" s="110"/>
      <c r="BI30" s="109"/>
      <c r="BK30" s="109"/>
      <c r="BL30" s="111"/>
    </row>
    <row r="31" spans="8:64" ht="18" customHeight="1">
      <c r="H31" s="96"/>
      <c r="I31" s="95"/>
      <c r="J31" s="114"/>
      <c r="K31" s="114"/>
      <c r="L31" s="114"/>
      <c r="M31" s="114"/>
      <c r="N31" s="121"/>
      <c r="O31" s="96"/>
      <c r="P31" s="116">
        <v>30</v>
      </c>
      <c r="Q31" s="129" t="s">
        <v>461</v>
      </c>
      <c r="R31" s="130">
        <v>6</v>
      </c>
      <c r="S31" s="130">
        <v>3</v>
      </c>
      <c r="T31" s="130">
        <v>3</v>
      </c>
      <c r="U31" s="130">
        <v>7</v>
      </c>
      <c r="V31" s="119" t="s">
        <v>465</v>
      </c>
      <c r="W31" s="121">
        <v>80000</v>
      </c>
      <c r="X31" s="121" t="s">
        <v>143</v>
      </c>
      <c r="Y31" s="121" t="s">
        <v>11</v>
      </c>
      <c r="Z31" s="121">
        <v>4</v>
      </c>
      <c r="AA31" s="380"/>
      <c r="AB31" s="103"/>
      <c r="AC31" s="124"/>
      <c r="AD31" s="121"/>
      <c r="AE31" s="105"/>
      <c r="AF31" s="121"/>
      <c r="AG31" s="105"/>
      <c r="AW31" s="109"/>
      <c r="BI31" s="109"/>
      <c r="BL31" s="111"/>
    </row>
    <row r="32" spans="9:33" ht="18" customHeight="1">
      <c r="I32" s="95"/>
      <c r="J32" s="114"/>
      <c r="K32" s="114"/>
      <c r="L32" s="114"/>
      <c r="M32" s="114"/>
      <c r="N32" s="121"/>
      <c r="O32" s="96"/>
      <c r="P32" s="116">
        <v>31</v>
      </c>
      <c r="Q32" s="129" t="s">
        <v>462</v>
      </c>
      <c r="R32" s="130">
        <v>6</v>
      </c>
      <c r="S32" s="130">
        <v>3</v>
      </c>
      <c r="T32" s="130">
        <v>3</v>
      </c>
      <c r="U32" s="130">
        <v>8</v>
      </c>
      <c r="V32" s="119" t="s">
        <v>467</v>
      </c>
      <c r="W32" s="121">
        <v>90000</v>
      </c>
      <c r="X32" s="121" t="s">
        <v>58</v>
      </c>
      <c r="Y32" s="121" t="s">
        <v>53</v>
      </c>
      <c r="Z32" s="121">
        <v>2</v>
      </c>
      <c r="AA32" s="380"/>
      <c r="AB32" s="103"/>
      <c r="AC32" s="124"/>
      <c r="AD32" s="121"/>
      <c r="AE32" s="105"/>
      <c r="AF32" s="121"/>
      <c r="AG32" s="105"/>
    </row>
    <row r="33" spans="9:33" ht="18" customHeight="1">
      <c r="I33" s="95"/>
      <c r="J33" s="114"/>
      <c r="K33" s="114"/>
      <c r="L33" s="114"/>
      <c r="M33" s="114"/>
      <c r="N33" s="121"/>
      <c r="O33" s="96"/>
      <c r="P33" s="116">
        <v>32</v>
      </c>
      <c r="Q33" s="129" t="s">
        <v>463</v>
      </c>
      <c r="R33" s="130">
        <v>6</v>
      </c>
      <c r="S33" s="130">
        <v>5</v>
      </c>
      <c r="T33" s="130">
        <v>1</v>
      </c>
      <c r="U33" s="130">
        <v>9</v>
      </c>
      <c r="V33" s="119" t="s">
        <v>466</v>
      </c>
      <c r="W33" s="121">
        <v>180000</v>
      </c>
      <c r="X33" s="121" t="s">
        <v>73</v>
      </c>
      <c r="Y33" s="121" t="s">
        <v>24</v>
      </c>
      <c r="Z33" s="121">
        <v>1</v>
      </c>
      <c r="AA33" s="380"/>
      <c r="AB33" s="103"/>
      <c r="AC33" s="124"/>
      <c r="AD33" s="121"/>
      <c r="AE33" s="105"/>
      <c r="AF33" s="121"/>
      <c r="AG33" s="105"/>
    </row>
    <row r="34" spans="9:33" ht="18" customHeight="1">
      <c r="I34" s="95"/>
      <c r="J34" s="114"/>
      <c r="K34" s="114"/>
      <c r="L34" s="114"/>
      <c r="M34" s="114"/>
      <c r="N34" s="121"/>
      <c r="O34" s="96"/>
      <c r="P34" s="116">
        <v>33</v>
      </c>
      <c r="Q34" s="138" t="s">
        <v>538</v>
      </c>
      <c r="R34" s="126">
        <v>4</v>
      </c>
      <c r="S34" s="126">
        <v>3</v>
      </c>
      <c r="T34" s="126">
        <v>2</v>
      </c>
      <c r="U34" s="126">
        <v>9</v>
      </c>
      <c r="V34" s="127" t="s">
        <v>71</v>
      </c>
      <c r="W34" s="141">
        <v>70000</v>
      </c>
      <c r="X34" s="141" t="s">
        <v>58</v>
      </c>
      <c r="Y34" s="141" t="s">
        <v>53</v>
      </c>
      <c r="Z34" s="141">
        <v>16</v>
      </c>
      <c r="AA34" s="375" t="s">
        <v>81</v>
      </c>
      <c r="AB34" s="103"/>
      <c r="AC34" s="150"/>
      <c r="AD34" s="121"/>
      <c r="AE34" s="105"/>
      <c r="AF34" s="121"/>
      <c r="AG34" s="105"/>
    </row>
    <row r="35" spans="9:33" ht="18" customHeight="1">
      <c r="I35" s="95"/>
      <c r="J35" s="114"/>
      <c r="K35" s="114"/>
      <c r="L35" s="114"/>
      <c r="M35" s="114"/>
      <c r="N35" s="121"/>
      <c r="O35" s="96"/>
      <c r="P35" s="116">
        <v>34</v>
      </c>
      <c r="Q35" s="139" t="s">
        <v>537</v>
      </c>
      <c r="R35" s="130">
        <v>6</v>
      </c>
      <c r="S35" s="130">
        <v>3</v>
      </c>
      <c r="T35" s="130">
        <v>3</v>
      </c>
      <c r="U35" s="130">
        <v>8</v>
      </c>
      <c r="V35" s="119" t="s">
        <v>84</v>
      </c>
      <c r="W35" s="143">
        <v>80000</v>
      </c>
      <c r="X35" s="143" t="s">
        <v>52</v>
      </c>
      <c r="Y35" s="143" t="s">
        <v>56</v>
      </c>
      <c r="Z35" s="143">
        <v>2</v>
      </c>
      <c r="AA35" s="376"/>
      <c r="AB35" s="103"/>
      <c r="AC35" s="124"/>
      <c r="AD35" s="121"/>
      <c r="AE35" s="105"/>
      <c r="AF35" s="121"/>
      <c r="AG35" s="105"/>
    </row>
    <row r="36" spans="9:33" ht="18" customHeight="1">
      <c r="I36" s="95"/>
      <c r="J36" s="114"/>
      <c r="K36" s="114"/>
      <c r="L36" s="114"/>
      <c r="M36" s="114"/>
      <c r="N36" s="121"/>
      <c r="O36" s="96"/>
      <c r="P36" s="116">
        <v>35</v>
      </c>
      <c r="Q36" s="139" t="s">
        <v>536</v>
      </c>
      <c r="R36" s="142">
        <v>5</v>
      </c>
      <c r="S36" s="142">
        <v>3</v>
      </c>
      <c r="T36" s="142">
        <v>3</v>
      </c>
      <c r="U36" s="142">
        <v>9</v>
      </c>
      <c r="V36" s="119" t="s">
        <v>85</v>
      </c>
      <c r="W36" s="143">
        <v>80000</v>
      </c>
      <c r="X36" s="143" t="s">
        <v>58</v>
      </c>
      <c r="Y36" s="143" t="s">
        <v>53</v>
      </c>
      <c r="Z36" s="143">
        <v>2</v>
      </c>
      <c r="AA36" s="376"/>
      <c r="AB36" s="103"/>
      <c r="AC36" s="124"/>
      <c r="AD36" s="121"/>
      <c r="AE36" s="105"/>
      <c r="AF36" s="121"/>
      <c r="AG36" s="105"/>
    </row>
    <row r="37" spans="9:33" ht="18" customHeight="1">
      <c r="I37" s="95"/>
      <c r="J37" s="114"/>
      <c r="K37" s="114"/>
      <c r="L37" s="114"/>
      <c r="M37" s="114"/>
      <c r="N37" s="121"/>
      <c r="O37" s="96"/>
      <c r="P37" s="116">
        <v>36</v>
      </c>
      <c r="Q37" s="139" t="s">
        <v>82</v>
      </c>
      <c r="R37" s="142">
        <v>5</v>
      </c>
      <c r="S37" s="142">
        <v>3</v>
      </c>
      <c r="T37" s="142">
        <v>2</v>
      </c>
      <c r="U37" s="142">
        <v>8</v>
      </c>
      <c r="V37" s="119" t="s">
        <v>86</v>
      </c>
      <c r="W37" s="143">
        <v>90000</v>
      </c>
      <c r="X37" s="143" t="s">
        <v>58</v>
      </c>
      <c r="Y37" s="143" t="s">
        <v>53</v>
      </c>
      <c r="Z37" s="143">
        <v>2</v>
      </c>
      <c r="AA37" s="376"/>
      <c r="AB37" s="103"/>
      <c r="AC37" s="124"/>
      <c r="AD37" s="121"/>
      <c r="AE37" s="105"/>
      <c r="AF37" s="121"/>
      <c r="AG37" s="105"/>
    </row>
    <row r="38" spans="9:62" ht="18" customHeight="1">
      <c r="I38" s="95"/>
      <c r="J38" s="114"/>
      <c r="K38" s="114"/>
      <c r="L38" s="114"/>
      <c r="M38" s="114"/>
      <c r="N38" s="121"/>
      <c r="P38" s="116">
        <v>37</v>
      </c>
      <c r="Q38" s="151" t="s">
        <v>83</v>
      </c>
      <c r="R38" s="152">
        <v>4</v>
      </c>
      <c r="S38" s="152">
        <v>7</v>
      </c>
      <c r="T38" s="152">
        <v>1</v>
      </c>
      <c r="U38" s="152">
        <v>10</v>
      </c>
      <c r="V38" s="134" t="s">
        <v>307</v>
      </c>
      <c r="W38" s="153">
        <v>160000</v>
      </c>
      <c r="X38" s="153" t="s">
        <v>73</v>
      </c>
      <c r="Y38" s="153" t="s">
        <v>24</v>
      </c>
      <c r="Z38" s="153">
        <v>1</v>
      </c>
      <c r="AA38" s="377"/>
      <c r="AB38" s="103"/>
      <c r="AC38" s="124"/>
      <c r="AD38" s="121"/>
      <c r="AE38" s="105"/>
      <c r="AF38" s="121"/>
      <c r="AG38" s="105"/>
      <c r="AH38" s="106">
        <f>IF(AI38="","",#REF!+1)</f>
      </c>
      <c r="AI38" s="107"/>
      <c r="AJ38" s="108"/>
      <c r="AK38" s="105"/>
      <c r="AM38" s="129"/>
      <c r="AN38" s="129"/>
      <c r="AO38" s="129"/>
      <c r="AQ38" s="136"/>
      <c r="AR38" s="136"/>
      <c r="AS38" s="129"/>
      <c r="AY38" s="129"/>
      <c r="AZ38" s="129"/>
      <c r="BA38" s="137"/>
      <c r="BC38" s="129"/>
      <c r="BD38" s="129"/>
      <c r="BE38" s="129"/>
      <c r="BF38" s="137"/>
      <c r="BH38" s="129"/>
      <c r="BJ38" s="129"/>
    </row>
    <row r="39" spans="16:62" ht="18" customHeight="1">
      <c r="P39" s="116">
        <v>38</v>
      </c>
      <c r="Q39" s="125" t="s">
        <v>541</v>
      </c>
      <c r="R39" s="126">
        <v>6</v>
      </c>
      <c r="S39" s="126">
        <v>3</v>
      </c>
      <c r="T39" s="126">
        <v>4</v>
      </c>
      <c r="U39" s="126">
        <v>7</v>
      </c>
      <c r="V39" s="127"/>
      <c r="W39" s="128">
        <v>60000</v>
      </c>
      <c r="X39" s="128" t="s">
        <v>54</v>
      </c>
      <c r="Y39" s="128" t="s">
        <v>57</v>
      </c>
      <c r="Z39" s="128">
        <v>16</v>
      </c>
      <c r="AA39" s="373" t="s">
        <v>540</v>
      </c>
      <c r="AB39" s="103"/>
      <c r="AC39" s="124"/>
      <c r="AD39" s="121"/>
      <c r="AE39" s="105"/>
      <c r="AF39" s="121"/>
      <c r="AG39" s="105"/>
      <c r="AH39" s="106">
        <f aca="true" t="shared" si="2" ref="AH39:AH48">IF(AI39="","",AH38+1)</f>
      </c>
      <c r="AI39" s="107"/>
      <c r="AJ39" s="108"/>
      <c r="AK39" s="105"/>
      <c r="AL39" s="129"/>
      <c r="AM39" s="129"/>
      <c r="AN39" s="136"/>
      <c r="AO39" s="129"/>
      <c r="AP39" s="136"/>
      <c r="AQ39" s="137"/>
      <c r="AR39" s="137"/>
      <c r="AS39" s="129"/>
      <c r="AU39" s="129"/>
      <c r="AV39" s="129"/>
      <c r="AX39" s="136"/>
      <c r="AY39" s="129"/>
      <c r="AZ39" s="129"/>
      <c r="BA39" s="129"/>
      <c r="BB39" s="129"/>
      <c r="BC39" s="129"/>
      <c r="BD39" s="129"/>
      <c r="BE39" s="129"/>
      <c r="BF39" s="129"/>
      <c r="BH39" s="129"/>
      <c r="BJ39" s="129"/>
    </row>
    <row r="40" spans="15:63" ht="18" customHeight="1">
      <c r="O40" s="112"/>
      <c r="P40" s="116">
        <v>39</v>
      </c>
      <c r="Q40" s="129" t="s">
        <v>542</v>
      </c>
      <c r="R40" s="130">
        <v>6</v>
      </c>
      <c r="S40" s="130">
        <v>3</v>
      </c>
      <c r="T40" s="130">
        <v>4</v>
      </c>
      <c r="U40" s="130">
        <v>7</v>
      </c>
      <c r="V40" s="119" t="s">
        <v>89</v>
      </c>
      <c r="W40" s="121">
        <v>70000</v>
      </c>
      <c r="X40" s="121" t="s">
        <v>24</v>
      </c>
      <c r="Y40" s="121" t="s">
        <v>73</v>
      </c>
      <c r="Z40" s="121">
        <v>2</v>
      </c>
      <c r="AA40" s="374"/>
      <c r="AB40" s="103"/>
      <c r="AC40" s="124"/>
      <c r="AD40" s="121"/>
      <c r="AE40" s="105"/>
      <c r="AF40" s="121"/>
      <c r="AG40" s="105"/>
      <c r="AH40" s="106">
        <f t="shared" si="2"/>
      </c>
      <c r="AI40" s="107"/>
      <c r="AJ40" s="108"/>
      <c r="AK40" s="105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39"/>
      <c r="AX40" s="129"/>
      <c r="AY40" s="129"/>
      <c r="AZ40" s="129"/>
      <c r="BA40" s="129"/>
      <c r="BB40" s="137"/>
      <c r="BC40" s="136"/>
      <c r="BD40" s="129"/>
      <c r="BE40" s="129"/>
      <c r="BF40" s="129"/>
      <c r="BG40" s="129"/>
      <c r="BH40" s="129"/>
      <c r="BJ40" s="98"/>
      <c r="BK40" s="129"/>
    </row>
    <row r="41" spans="15:63" ht="18" customHeight="1">
      <c r="O41" s="154"/>
      <c r="P41" s="116">
        <v>40</v>
      </c>
      <c r="Q41" s="129" t="s">
        <v>543</v>
      </c>
      <c r="R41" s="130">
        <v>8</v>
      </c>
      <c r="S41" s="130">
        <v>3</v>
      </c>
      <c r="T41" s="130">
        <v>4</v>
      </c>
      <c r="U41" s="130">
        <v>7</v>
      </c>
      <c r="V41" s="119" t="s">
        <v>88</v>
      </c>
      <c r="W41" s="121">
        <v>100000</v>
      </c>
      <c r="X41" s="121" t="s">
        <v>54</v>
      </c>
      <c r="Y41" s="121" t="s">
        <v>57</v>
      </c>
      <c r="Z41" s="121">
        <v>4</v>
      </c>
      <c r="AA41" s="374"/>
      <c r="AB41" s="103"/>
      <c r="AC41" s="124"/>
      <c r="AD41" s="121"/>
      <c r="AE41" s="105"/>
      <c r="AF41" s="121"/>
      <c r="AG41" s="105"/>
      <c r="AH41" s="106">
        <f t="shared" si="2"/>
      </c>
      <c r="AI41" s="107"/>
      <c r="AJ41" s="108"/>
      <c r="AK41" s="105"/>
      <c r="AL41" s="129"/>
      <c r="AM41" s="139"/>
      <c r="AN41" s="139"/>
      <c r="AO41" s="139"/>
      <c r="AP41" s="129"/>
      <c r="AQ41" s="129"/>
      <c r="AR41" s="129"/>
      <c r="AS41" s="129"/>
      <c r="AT41" s="129"/>
      <c r="AU41" s="129"/>
      <c r="AV41" s="98"/>
      <c r="AW41" s="137"/>
      <c r="AX41" s="129"/>
      <c r="AY41" s="129"/>
      <c r="AZ41" s="98"/>
      <c r="BA41" s="129"/>
      <c r="BB41" s="129"/>
      <c r="BC41" s="129"/>
      <c r="BD41" s="98"/>
      <c r="BE41" s="129"/>
      <c r="BF41" s="129"/>
      <c r="BG41" s="129"/>
      <c r="BH41" s="129"/>
      <c r="BI41" s="129"/>
      <c r="BJ41" s="98"/>
      <c r="BK41" s="129"/>
    </row>
    <row r="42" spans="15:63" ht="18" customHeight="1">
      <c r="O42" s="154"/>
      <c r="P42" s="116">
        <v>41</v>
      </c>
      <c r="Q42" s="132" t="s">
        <v>544</v>
      </c>
      <c r="R42" s="133">
        <v>7</v>
      </c>
      <c r="S42" s="133">
        <v>3</v>
      </c>
      <c r="T42" s="133">
        <v>4</v>
      </c>
      <c r="U42" s="133">
        <v>8</v>
      </c>
      <c r="V42" s="134" t="s">
        <v>87</v>
      </c>
      <c r="W42" s="135">
        <v>110000</v>
      </c>
      <c r="X42" s="135" t="s">
        <v>54</v>
      </c>
      <c r="Y42" s="135" t="s">
        <v>57</v>
      </c>
      <c r="Z42" s="135">
        <v>2</v>
      </c>
      <c r="AA42" s="378"/>
      <c r="AB42" s="103"/>
      <c r="AC42" s="124"/>
      <c r="AD42" s="121"/>
      <c r="AE42" s="105"/>
      <c r="AF42" s="121"/>
      <c r="AG42" s="105"/>
      <c r="AH42" s="106">
        <f t="shared" si="2"/>
      </c>
      <c r="AI42" s="107"/>
      <c r="AJ42" s="108"/>
      <c r="AK42" s="105"/>
      <c r="AL42" s="139"/>
      <c r="AM42" s="98"/>
      <c r="AN42" s="98"/>
      <c r="AO42" s="98"/>
      <c r="AP42" s="129"/>
      <c r="AQ42" s="129"/>
      <c r="AR42" s="129"/>
      <c r="AS42" s="139"/>
      <c r="AT42" s="137"/>
      <c r="AU42" s="129"/>
      <c r="AV42" s="129"/>
      <c r="AW42" s="129"/>
      <c r="AX42" s="129"/>
      <c r="AY42" s="93"/>
      <c r="AZ42" s="129"/>
      <c r="BA42" s="129"/>
      <c r="BB42" s="129"/>
      <c r="BC42" s="129"/>
      <c r="BE42" s="129"/>
      <c r="BF42" s="129"/>
      <c r="BG42" s="129"/>
      <c r="BH42" s="129"/>
      <c r="BI42" s="129"/>
      <c r="BK42" s="129"/>
    </row>
    <row r="43" spans="15:63" ht="18" customHeight="1">
      <c r="O43" s="154"/>
      <c r="P43" s="116">
        <v>42</v>
      </c>
      <c r="Q43" s="125" t="s">
        <v>27</v>
      </c>
      <c r="R43" s="126">
        <v>6</v>
      </c>
      <c r="S43" s="126">
        <v>2</v>
      </c>
      <c r="T43" s="126">
        <v>3</v>
      </c>
      <c r="U43" s="126">
        <v>7</v>
      </c>
      <c r="V43" s="127" t="s">
        <v>93</v>
      </c>
      <c r="W43" s="128">
        <v>40000</v>
      </c>
      <c r="X43" s="128" t="s">
        <v>35</v>
      </c>
      <c r="Y43" s="128" t="s">
        <v>96</v>
      </c>
      <c r="Z43" s="128">
        <v>16</v>
      </c>
      <c r="AA43" s="375" t="s">
        <v>27</v>
      </c>
      <c r="AB43" s="103"/>
      <c r="AC43" s="124"/>
      <c r="AD43" s="121"/>
      <c r="AE43" s="105"/>
      <c r="AF43" s="121"/>
      <c r="AG43" s="105"/>
      <c r="AH43" s="106">
        <f t="shared" si="2"/>
      </c>
      <c r="AI43" s="107">
        <f aca="true" t="shared" si="3" ref="AI43:AI48">IF(AJ43=0,"",AJ43)</f>
      </c>
      <c r="AJ43" s="108"/>
      <c r="AK43" s="105"/>
      <c r="AL43" s="98"/>
      <c r="AM43" s="98"/>
      <c r="AN43" s="129"/>
      <c r="AO43" s="93"/>
      <c r="AP43" s="129"/>
      <c r="AQ43" s="98"/>
      <c r="AR43" s="98"/>
      <c r="AS43" s="98"/>
      <c r="AT43" s="129"/>
      <c r="AU43" s="129"/>
      <c r="AV43" s="129"/>
      <c r="AW43" s="129"/>
      <c r="AX43" s="129"/>
      <c r="AY43" s="129"/>
      <c r="AZ43" s="129"/>
      <c r="BA43" s="98"/>
      <c r="BB43" s="129"/>
      <c r="BC43" s="98"/>
      <c r="BE43" s="129"/>
      <c r="BF43" s="129"/>
      <c r="BG43" s="129"/>
      <c r="BH43" s="129"/>
      <c r="BI43" s="129"/>
      <c r="BJ43" s="129"/>
      <c r="BK43" s="129"/>
    </row>
    <row r="44" spans="15:63" ht="18" customHeight="1">
      <c r="O44" s="154"/>
      <c r="P44" s="116">
        <v>43</v>
      </c>
      <c r="Q44" s="129" t="s">
        <v>507</v>
      </c>
      <c r="R44" s="130">
        <v>6</v>
      </c>
      <c r="S44" s="130">
        <v>2</v>
      </c>
      <c r="T44" s="130">
        <v>3</v>
      </c>
      <c r="U44" s="130">
        <v>7</v>
      </c>
      <c r="V44" s="119" t="s">
        <v>308</v>
      </c>
      <c r="W44" s="121">
        <v>40000</v>
      </c>
      <c r="X44" s="121" t="s">
        <v>35</v>
      </c>
      <c r="Y44" s="121" t="s">
        <v>96</v>
      </c>
      <c r="Z44" s="121">
        <v>1</v>
      </c>
      <c r="AA44" s="376"/>
      <c r="AC44" s="124"/>
      <c r="AD44" s="121"/>
      <c r="AE44" s="105"/>
      <c r="AF44" s="121"/>
      <c r="AG44" s="155"/>
      <c r="AH44" s="106">
        <f t="shared" si="2"/>
      </c>
      <c r="AI44" s="107">
        <f t="shared" si="3"/>
      </c>
      <c r="AJ44" s="108"/>
      <c r="AK44" s="105"/>
      <c r="AL44" s="98"/>
      <c r="AN44" s="129"/>
      <c r="AO44" s="93"/>
      <c r="AP44" s="129"/>
      <c r="AQ44" s="129"/>
      <c r="AR44" s="129"/>
      <c r="AS44" s="98"/>
      <c r="AT44" s="98"/>
      <c r="AU44" s="129"/>
      <c r="AV44" s="129"/>
      <c r="AW44" s="129"/>
      <c r="AX44" s="98"/>
      <c r="AY44" s="129"/>
      <c r="AZ44" s="129"/>
      <c r="BA44" s="98"/>
      <c r="BB44" s="139"/>
      <c r="BC44" s="129"/>
      <c r="BD44" s="129"/>
      <c r="BE44" s="98"/>
      <c r="BF44" s="98"/>
      <c r="BG44" s="129"/>
      <c r="BH44" s="129"/>
      <c r="BI44" s="129"/>
      <c r="BJ44" s="129"/>
      <c r="BK44" s="129"/>
    </row>
    <row r="45" spans="15:63" ht="18" customHeight="1">
      <c r="O45" s="154"/>
      <c r="P45" s="116">
        <v>44</v>
      </c>
      <c r="Q45" s="129" t="s">
        <v>91</v>
      </c>
      <c r="R45" s="130">
        <v>6</v>
      </c>
      <c r="S45" s="130">
        <v>2</v>
      </c>
      <c r="T45" s="130">
        <v>3</v>
      </c>
      <c r="U45" s="130">
        <v>7</v>
      </c>
      <c r="V45" s="119" t="s">
        <v>309</v>
      </c>
      <c r="W45" s="121">
        <v>40000</v>
      </c>
      <c r="X45" s="121" t="s">
        <v>35</v>
      </c>
      <c r="Y45" s="121" t="s">
        <v>96</v>
      </c>
      <c r="Z45" s="121">
        <v>1</v>
      </c>
      <c r="AA45" s="376"/>
      <c r="AC45" s="124"/>
      <c r="AD45" s="121"/>
      <c r="AE45" s="105"/>
      <c r="AF45" s="121"/>
      <c r="AG45" s="155"/>
      <c r="AH45" s="106">
        <f t="shared" si="2"/>
      </c>
      <c r="AI45" s="107">
        <f t="shared" si="3"/>
      </c>
      <c r="AJ45" s="108"/>
      <c r="AK45" s="105"/>
      <c r="AN45" s="129"/>
      <c r="AO45" s="110"/>
      <c r="AP45" s="129"/>
      <c r="AQ45" s="129"/>
      <c r="AR45" s="129"/>
      <c r="AS45" s="98"/>
      <c r="AT45" s="98"/>
      <c r="AU45" s="98"/>
      <c r="AV45" s="129"/>
      <c r="AW45" s="98"/>
      <c r="AX45" s="98"/>
      <c r="AY45" s="129"/>
      <c r="AZ45" s="129"/>
      <c r="BA45" s="93"/>
      <c r="BB45" s="98"/>
      <c r="BC45" s="129"/>
      <c r="BD45" s="129"/>
      <c r="BE45" s="98"/>
      <c r="BF45" s="98"/>
      <c r="BG45" s="98"/>
      <c r="BH45" s="129"/>
      <c r="BI45" s="129"/>
      <c r="BJ45" s="129"/>
      <c r="BK45" s="98"/>
    </row>
    <row r="46" spans="15:63" ht="18" customHeight="1">
      <c r="O46" s="154"/>
      <c r="P46" s="116">
        <v>45</v>
      </c>
      <c r="Q46" s="129" t="s">
        <v>92</v>
      </c>
      <c r="R46" s="130">
        <v>3</v>
      </c>
      <c r="S46" s="130">
        <v>7</v>
      </c>
      <c r="T46" s="130">
        <v>3</v>
      </c>
      <c r="U46" s="130">
        <v>7</v>
      </c>
      <c r="V46" s="119" t="s">
        <v>94</v>
      </c>
      <c r="W46" s="121">
        <v>70000</v>
      </c>
      <c r="X46" s="121" t="s">
        <v>73</v>
      </c>
      <c r="Y46" s="121" t="s">
        <v>24</v>
      </c>
      <c r="Z46" s="121">
        <v>1</v>
      </c>
      <c r="AA46" s="376"/>
      <c r="AC46" s="124"/>
      <c r="AD46" s="121"/>
      <c r="AE46" s="105"/>
      <c r="AF46" s="121"/>
      <c r="AG46" s="155"/>
      <c r="AH46" s="106">
        <f t="shared" si="2"/>
      </c>
      <c r="AI46" s="107">
        <f t="shared" si="3"/>
      </c>
      <c r="AJ46" s="108"/>
      <c r="AK46" s="105"/>
      <c r="AM46" s="98"/>
      <c r="AN46" s="109"/>
      <c r="AO46" s="110"/>
      <c r="AP46" s="93"/>
      <c r="AQ46" s="109"/>
      <c r="AR46" s="109"/>
      <c r="AS46" s="98"/>
      <c r="AT46" s="98"/>
      <c r="AU46" s="98"/>
      <c r="AV46" s="109"/>
      <c r="AW46" s="98"/>
      <c r="AX46" s="98"/>
      <c r="AY46" s="129"/>
      <c r="AZ46" s="129"/>
      <c r="BA46" s="110"/>
      <c r="BB46" s="98"/>
      <c r="BC46" s="110"/>
      <c r="BD46" s="129"/>
      <c r="BE46" s="98"/>
      <c r="BF46" s="109"/>
      <c r="BG46" s="98"/>
      <c r="BH46" s="129"/>
      <c r="BI46" s="93"/>
      <c r="BJ46" s="145"/>
      <c r="BK46" s="98"/>
    </row>
    <row r="47" spans="15:63" ht="18" customHeight="1">
      <c r="O47" s="154"/>
      <c r="P47" s="116">
        <v>46</v>
      </c>
      <c r="Q47" s="129" t="s">
        <v>653</v>
      </c>
      <c r="R47" s="130">
        <v>6</v>
      </c>
      <c r="S47" s="130">
        <v>2</v>
      </c>
      <c r="T47" s="130">
        <v>3</v>
      </c>
      <c r="U47" s="130">
        <v>7</v>
      </c>
      <c r="V47" s="119" t="s">
        <v>654</v>
      </c>
      <c r="W47" s="121">
        <v>60000</v>
      </c>
      <c r="X47" s="121" t="s">
        <v>35</v>
      </c>
      <c r="Y47" s="121" t="s">
        <v>96</v>
      </c>
      <c r="Z47" s="121">
        <v>1</v>
      </c>
      <c r="AA47" s="376"/>
      <c r="AC47" s="124"/>
      <c r="AD47" s="121"/>
      <c r="AE47" s="105"/>
      <c r="AF47" s="121"/>
      <c r="AG47" s="155"/>
      <c r="AH47" s="106">
        <f t="shared" si="2"/>
      </c>
      <c r="AI47" s="107">
        <f t="shared" si="3"/>
      </c>
      <c r="AJ47" s="108"/>
      <c r="AK47" s="105"/>
      <c r="AL47" s="98"/>
      <c r="AN47" s="109"/>
      <c r="AO47" s="110"/>
      <c r="AP47" s="93"/>
      <c r="AQ47" s="109"/>
      <c r="AR47" s="109"/>
      <c r="AS47" s="110"/>
      <c r="AT47" s="98"/>
      <c r="AU47" s="109"/>
      <c r="AV47" s="109"/>
      <c r="AW47" s="98"/>
      <c r="AX47" s="98"/>
      <c r="AY47" s="109"/>
      <c r="AZ47" s="110"/>
      <c r="BA47" s="110"/>
      <c r="BB47" s="110"/>
      <c r="BC47" s="110"/>
      <c r="BD47" s="110"/>
      <c r="BE47" s="98"/>
      <c r="BF47" s="109"/>
      <c r="BG47" s="98"/>
      <c r="BH47" s="110"/>
      <c r="BI47" s="93"/>
      <c r="BJ47" s="110"/>
      <c r="BK47" s="98"/>
    </row>
    <row r="48" spans="15:63" ht="18" customHeight="1">
      <c r="O48" s="154"/>
      <c r="P48" s="116">
        <v>47</v>
      </c>
      <c r="Q48" s="129" t="s">
        <v>90</v>
      </c>
      <c r="R48" s="130">
        <v>7</v>
      </c>
      <c r="S48" s="130">
        <v>2</v>
      </c>
      <c r="T48" s="130">
        <v>3</v>
      </c>
      <c r="U48" s="130">
        <v>7</v>
      </c>
      <c r="V48" s="119" t="s">
        <v>310</v>
      </c>
      <c r="W48" s="121">
        <v>70000</v>
      </c>
      <c r="X48" s="121" t="s">
        <v>35</v>
      </c>
      <c r="Y48" s="121" t="s">
        <v>96</v>
      </c>
      <c r="Z48" s="121">
        <v>1</v>
      </c>
      <c r="AA48" s="376"/>
      <c r="AC48" s="124"/>
      <c r="AD48" s="121"/>
      <c r="AE48" s="105"/>
      <c r="AF48" s="121"/>
      <c r="AG48" s="155"/>
      <c r="AH48" s="106">
        <f t="shared" si="2"/>
      </c>
      <c r="AI48" s="107">
        <f t="shared" si="3"/>
      </c>
      <c r="AJ48" s="108"/>
      <c r="AK48" s="105"/>
      <c r="AN48" s="109"/>
      <c r="AO48" s="110"/>
      <c r="AP48" s="110"/>
      <c r="AQ48" s="109"/>
      <c r="AR48" s="109"/>
      <c r="AS48" s="110"/>
      <c r="AT48" s="98"/>
      <c r="AU48" s="109"/>
      <c r="AV48" s="109"/>
      <c r="AW48" s="98"/>
      <c r="AX48" s="98"/>
      <c r="AY48" s="109"/>
      <c r="AZ48" s="110"/>
      <c r="BA48" s="110"/>
      <c r="BB48" s="110"/>
      <c r="BC48" s="110"/>
      <c r="BD48" s="110"/>
      <c r="BE48" s="110"/>
      <c r="BF48" s="109"/>
      <c r="BG48" s="98"/>
      <c r="BH48" s="110"/>
      <c r="BI48" s="93"/>
      <c r="BJ48" s="110"/>
      <c r="BK48" s="98"/>
    </row>
    <row r="49" spans="15:63" ht="18" customHeight="1">
      <c r="O49" s="154"/>
      <c r="P49" s="116">
        <v>48</v>
      </c>
      <c r="Q49" s="129" t="s">
        <v>651</v>
      </c>
      <c r="R49" s="130">
        <v>6</v>
      </c>
      <c r="S49" s="130">
        <v>2</v>
      </c>
      <c r="T49" s="130">
        <v>3</v>
      </c>
      <c r="U49" s="130">
        <v>7</v>
      </c>
      <c r="V49" s="119" t="s">
        <v>652</v>
      </c>
      <c r="W49" s="121">
        <v>70000</v>
      </c>
      <c r="X49" s="121" t="s">
        <v>35</v>
      </c>
      <c r="Y49" s="121" t="s">
        <v>96</v>
      </c>
      <c r="Z49" s="121">
        <v>1</v>
      </c>
      <c r="AA49" s="376"/>
      <c r="AE49" s="155"/>
      <c r="AG49" s="155"/>
      <c r="AK49" s="155"/>
      <c r="AP49" s="110"/>
      <c r="AT49" s="98"/>
      <c r="AU49" s="109"/>
      <c r="AV49" s="109"/>
      <c r="AW49" s="109"/>
      <c r="AX49" s="98"/>
      <c r="BB49" s="110"/>
      <c r="BG49" s="110"/>
      <c r="BI49" s="93"/>
      <c r="BK49" s="98"/>
    </row>
    <row r="50" spans="15:63" ht="18" customHeight="1">
      <c r="O50" s="154"/>
      <c r="P50" s="116">
        <v>49</v>
      </c>
      <c r="Q50" s="132" t="s">
        <v>17</v>
      </c>
      <c r="R50" s="133">
        <v>4</v>
      </c>
      <c r="S50" s="133">
        <v>5</v>
      </c>
      <c r="T50" s="133">
        <v>1</v>
      </c>
      <c r="U50" s="133">
        <v>9</v>
      </c>
      <c r="V50" s="134" t="s">
        <v>95</v>
      </c>
      <c r="W50" s="135">
        <v>110000</v>
      </c>
      <c r="X50" s="135" t="s">
        <v>73</v>
      </c>
      <c r="Y50" s="135" t="s">
        <v>24</v>
      </c>
      <c r="Z50" s="135">
        <v>2</v>
      </c>
      <c r="AA50" s="377"/>
      <c r="AE50" s="155"/>
      <c r="AG50" s="155"/>
      <c r="AK50" s="155"/>
      <c r="AT50" s="98"/>
      <c r="AW50" s="109"/>
      <c r="BG50" s="110"/>
      <c r="BI50" s="109"/>
      <c r="BK50" s="109"/>
    </row>
    <row r="51" spans="15:61" ht="18" customHeight="1">
      <c r="O51" s="154"/>
      <c r="P51" s="116">
        <v>50</v>
      </c>
      <c r="Q51" s="138" t="s">
        <v>508</v>
      </c>
      <c r="R51" s="126">
        <v>5</v>
      </c>
      <c r="S51" s="126">
        <v>2</v>
      </c>
      <c r="T51" s="126">
        <v>3</v>
      </c>
      <c r="U51" s="126">
        <v>6</v>
      </c>
      <c r="V51" s="127" t="s">
        <v>93</v>
      </c>
      <c r="W51" s="128">
        <v>30000</v>
      </c>
      <c r="X51" s="128" t="s">
        <v>35</v>
      </c>
      <c r="Y51" s="128" t="s">
        <v>96</v>
      </c>
      <c r="Z51" s="128">
        <v>16</v>
      </c>
      <c r="AA51" s="373" t="s">
        <v>29</v>
      </c>
      <c r="AE51" s="155"/>
      <c r="AG51" s="155"/>
      <c r="AK51" s="155"/>
      <c r="AW51" s="109"/>
      <c r="BI51" s="109"/>
    </row>
    <row r="52" spans="15:37" ht="18" customHeight="1">
      <c r="O52" s="154"/>
      <c r="P52" s="116">
        <v>51</v>
      </c>
      <c r="Q52" s="132" t="s">
        <v>97</v>
      </c>
      <c r="R52" s="133">
        <v>2</v>
      </c>
      <c r="S52" s="133">
        <v>6</v>
      </c>
      <c r="T52" s="133">
        <v>1</v>
      </c>
      <c r="U52" s="133">
        <v>10</v>
      </c>
      <c r="V52" s="134" t="s">
        <v>539</v>
      </c>
      <c r="W52" s="135">
        <v>120000</v>
      </c>
      <c r="X52" s="135" t="s">
        <v>73</v>
      </c>
      <c r="Y52" s="135" t="s">
        <v>24</v>
      </c>
      <c r="Z52" s="135">
        <v>2</v>
      </c>
      <c r="AA52" s="378"/>
      <c r="AE52" s="155"/>
      <c r="AG52" s="155"/>
      <c r="AK52" s="155"/>
    </row>
    <row r="53" spans="15:37" ht="18" customHeight="1">
      <c r="O53" s="154"/>
      <c r="P53" s="116">
        <v>52</v>
      </c>
      <c r="Q53" s="125" t="s">
        <v>551</v>
      </c>
      <c r="R53" s="126">
        <v>6</v>
      </c>
      <c r="S53" s="126">
        <v>3</v>
      </c>
      <c r="T53" s="126">
        <v>4</v>
      </c>
      <c r="U53" s="126">
        <v>8</v>
      </c>
      <c r="V53" s="127"/>
      <c r="W53" s="128">
        <v>70000</v>
      </c>
      <c r="X53" s="128" t="s">
        <v>54</v>
      </c>
      <c r="Y53" s="128" t="s">
        <v>57</v>
      </c>
      <c r="Z53" s="128">
        <v>16</v>
      </c>
      <c r="AA53" s="375" t="s">
        <v>98</v>
      </c>
      <c r="AE53" s="155"/>
      <c r="AG53" s="155"/>
      <c r="AK53" s="155"/>
    </row>
    <row r="54" spans="15:37" ht="18" customHeight="1">
      <c r="O54" s="154"/>
      <c r="P54" s="116">
        <v>53</v>
      </c>
      <c r="Q54" s="129" t="s">
        <v>553</v>
      </c>
      <c r="R54" s="130">
        <v>6</v>
      </c>
      <c r="S54" s="130">
        <v>3</v>
      </c>
      <c r="T54" s="130">
        <v>4</v>
      </c>
      <c r="U54" s="130">
        <v>8</v>
      </c>
      <c r="V54" s="119" t="s">
        <v>99</v>
      </c>
      <c r="W54" s="121">
        <v>90000</v>
      </c>
      <c r="X54" s="121" t="s">
        <v>24</v>
      </c>
      <c r="Y54" s="121" t="s">
        <v>73</v>
      </c>
      <c r="Z54" s="121">
        <v>2</v>
      </c>
      <c r="AA54" s="376"/>
      <c r="AE54" s="155"/>
      <c r="AG54" s="155"/>
      <c r="AK54" s="155"/>
    </row>
    <row r="55" spans="15:37" ht="18" customHeight="1">
      <c r="O55" s="154"/>
      <c r="P55" s="116">
        <v>54</v>
      </c>
      <c r="Q55" s="129" t="s">
        <v>554</v>
      </c>
      <c r="R55" s="130">
        <v>8</v>
      </c>
      <c r="S55" s="130">
        <v>3</v>
      </c>
      <c r="T55" s="130">
        <v>4</v>
      </c>
      <c r="U55" s="130">
        <v>7</v>
      </c>
      <c r="V55" s="119" t="s">
        <v>100</v>
      </c>
      <c r="W55" s="121">
        <v>90000</v>
      </c>
      <c r="X55" s="121" t="s">
        <v>54</v>
      </c>
      <c r="Y55" s="121" t="s">
        <v>57</v>
      </c>
      <c r="Z55" s="121">
        <v>4</v>
      </c>
      <c r="AA55" s="376"/>
      <c r="AE55" s="155"/>
      <c r="AG55" s="155"/>
      <c r="AK55" s="155"/>
    </row>
    <row r="56" spans="15:37" ht="18" customHeight="1">
      <c r="O56" s="154"/>
      <c r="P56" s="116">
        <v>55</v>
      </c>
      <c r="Q56" s="132" t="s">
        <v>552</v>
      </c>
      <c r="R56" s="133">
        <v>7</v>
      </c>
      <c r="S56" s="133">
        <v>3</v>
      </c>
      <c r="T56" s="133">
        <v>4</v>
      </c>
      <c r="U56" s="133">
        <v>8</v>
      </c>
      <c r="V56" s="134" t="s">
        <v>75</v>
      </c>
      <c r="W56" s="135">
        <v>100000</v>
      </c>
      <c r="X56" s="135" t="s">
        <v>54</v>
      </c>
      <c r="Y56" s="135" t="s">
        <v>57</v>
      </c>
      <c r="Z56" s="135">
        <v>2</v>
      </c>
      <c r="AA56" s="377"/>
      <c r="AE56" s="155"/>
      <c r="AG56" s="155"/>
      <c r="AK56" s="155"/>
    </row>
    <row r="57" spans="15:37" ht="18" customHeight="1">
      <c r="O57" s="154"/>
      <c r="P57" s="116">
        <v>56</v>
      </c>
      <c r="Q57" s="125" t="s">
        <v>545</v>
      </c>
      <c r="R57" s="140">
        <v>6</v>
      </c>
      <c r="S57" s="140">
        <v>3</v>
      </c>
      <c r="T57" s="140">
        <v>3</v>
      </c>
      <c r="U57" s="140">
        <v>8</v>
      </c>
      <c r="V57" s="127"/>
      <c r="W57" s="141">
        <v>50000</v>
      </c>
      <c r="X57" s="141" t="s">
        <v>13</v>
      </c>
      <c r="Y57" s="141" t="s">
        <v>55</v>
      </c>
      <c r="Z57" s="141">
        <v>16</v>
      </c>
      <c r="AA57" s="373" t="s">
        <v>101</v>
      </c>
      <c r="AE57" s="155"/>
      <c r="AG57" s="155"/>
      <c r="AK57" s="155"/>
    </row>
    <row r="58" spans="15:37" ht="18" customHeight="1">
      <c r="O58" s="154"/>
      <c r="P58" s="116">
        <v>57</v>
      </c>
      <c r="Q58" s="129" t="s">
        <v>546</v>
      </c>
      <c r="R58" s="142">
        <v>8</v>
      </c>
      <c r="S58" s="142">
        <v>2</v>
      </c>
      <c r="T58" s="142">
        <v>3</v>
      </c>
      <c r="U58" s="142">
        <v>7</v>
      </c>
      <c r="V58" s="119" t="s">
        <v>102</v>
      </c>
      <c r="W58" s="143">
        <v>60000</v>
      </c>
      <c r="X58" s="143" t="s">
        <v>54</v>
      </c>
      <c r="Y58" s="143" t="s">
        <v>57</v>
      </c>
      <c r="Z58" s="143">
        <v>4</v>
      </c>
      <c r="AA58" s="374"/>
      <c r="AE58" s="155"/>
      <c r="AG58" s="155"/>
      <c r="AK58" s="155"/>
    </row>
    <row r="59" spans="15:37" ht="18" customHeight="1">
      <c r="O59" s="154"/>
      <c r="P59" s="116">
        <v>58</v>
      </c>
      <c r="Q59" s="129" t="s">
        <v>547</v>
      </c>
      <c r="R59" s="142">
        <v>6</v>
      </c>
      <c r="S59" s="142">
        <v>3</v>
      </c>
      <c r="T59" s="142">
        <v>3</v>
      </c>
      <c r="U59" s="142">
        <v>8</v>
      </c>
      <c r="V59" s="119" t="s">
        <v>104</v>
      </c>
      <c r="W59" s="143">
        <v>70000</v>
      </c>
      <c r="X59" s="143" t="s">
        <v>52</v>
      </c>
      <c r="Y59" s="143" t="s">
        <v>56</v>
      </c>
      <c r="Z59" s="143">
        <v>2</v>
      </c>
      <c r="AA59" s="374"/>
      <c r="AE59" s="155"/>
      <c r="AG59" s="155"/>
      <c r="AK59" s="155"/>
    </row>
    <row r="60" spans="15:37" ht="18" customHeight="1">
      <c r="O60" s="154"/>
      <c r="P60" s="116">
        <v>59</v>
      </c>
      <c r="Q60" s="129" t="s">
        <v>548</v>
      </c>
      <c r="R60" s="142">
        <v>7</v>
      </c>
      <c r="S60" s="142">
        <v>3</v>
      </c>
      <c r="T60" s="142">
        <v>3</v>
      </c>
      <c r="U60" s="142">
        <v>8</v>
      </c>
      <c r="V60" s="119" t="s">
        <v>75</v>
      </c>
      <c r="W60" s="143">
        <v>90000</v>
      </c>
      <c r="X60" s="143" t="s">
        <v>58</v>
      </c>
      <c r="Y60" s="143" t="s">
        <v>53</v>
      </c>
      <c r="Z60" s="143">
        <v>4</v>
      </c>
      <c r="AA60" s="374"/>
      <c r="AE60" s="155"/>
      <c r="AG60" s="155"/>
      <c r="AK60" s="155"/>
    </row>
    <row r="61" spans="15:37" ht="18" customHeight="1">
      <c r="O61" s="154"/>
      <c r="P61" s="116">
        <v>60</v>
      </c>
      <c r="Q61" s="151" t="s">
        <v>38</v>
      </c>
      <c r="R61" s="152">
        <v>5</v>
      </c>
      <c r="S61" s="152">
        <v>5</v>
      </c>
      <c r="T61" s="152">
        <v>2</v>
      </c>
      <c r="U61" s="152">
        <v>9</v>
      </c>
      <c r="V61" s="134" t="s">
        <v>105</v>
      </c>
      <c r="W61" s="153">
        <v>140000</v>
      </c>
      <c r="X61" s="153" t="s">
        <v>73</v>
      </c>
      <c r="Y61" s="153" t="s">
        <v>24</v>
      </c>
      <c r="Z61" s="153">
        <v>1</v>
      </c>
      <c r="AA61" s="378"/>
      <c r="AE61" s="155"/>
      <c r="AG61" s="155"/>
      <c r="AK61" s="155"/>
    </row>
    <row r="62" spans="15:37" ht="18" customHeight="1">
      <c r="O62" s="154"/>
      <c r="P62" s="116">
        <v>61</v>
      </c>
      <c r="Q62" s="125" t="s">
        <v>510</v>
      </c>
      <c r="R62" s="126">
        <v>5</v>
      </c>
      <c r="S62" s="126">
        <v>3</v>
      </c>
      <c r="T62" s="126">
        <v>2</v>
      </c>
      <c r="U62" s="126">
        <v>7</v>
      </c>
      <c r="V62" s="127" t="s">
        <v>312</v>
      </c>
      <c r="W62" s="128">
        <v>40000</v>
      </c>
      <c r="X62" s="128" t="s">
        <v>13</v>
      </c>
      <c r="Y62" s="128" t="s">
        <v>55</v>
      </c>
      <c r="Z62" s="128">
        <v>16</v>
      </c>
      <c r="AA62" s="375" t="s">
        <v>509</v>
      </c>
      <c r="AE62" s="155"/>
      <c r="AG62" s="155"/>
      <c r="AK62" s="155"/>
    </row>
    <row r="63" spans="15:37" ht="18" customHeight="1">
      <c r="O63" s="154"/>
      <c r="P63" s="116">
        <v>62</v>
      </c>
      <c r="Q63" s="129" t="s">
        <v>511</v>
      </c>
      <c r="R63" s="130">
        <v>6</v>
      </c>
      <c r="S63" s="130">
        <v>3</v>
      </c>
      <c r="T63" s="130">
        <v>2</v>
      </c>
      <c r="U63" s="130">
        <v>7</v>
      </c>
      <c r="V63" s="119" t="s">
        <v>108</v>
      </c>
      <c r="W63" s="121">
        <v>70000</v>
      </c>
      <c r="X63" s="121" t="s">
        <v>52</v>
      </c>
      <c r="Y63" s="121" t="s">
        <v>56</v>
      </c>
      <c r="Z63" s="121">
        <v>2</v>
      </c>
      <c r="AA63" s="376"/>
      <c r="AE63" s="155"/>
      <c r="AG63" s="155"/>
      <c r="AK63" s="155"/>
    </row>
    <row r="64" spans="15:37" ht="18" customHeight="1">
      <c r="O64" s="154"/>
      <c r="P64" s="116">
        <v>63</v>
      </c>
      <c r="Q64" s="129" t="s">
        <v>512</v>
      </c>
      <c r="R64" s="130">
        <v>6</v>
      </c>
      <c r="S64" s="130">
        <v>3</v>
      </c>
      <c r="T64" s="130">
        <v>2</v>
      </c>
      <c r="U64" s="130">
        <v>8</v>
      </c>
      <c r="V64" s="119" t="s">
        <v>109</v>
      </c>
      <c r="W64" s="121">
        <v>90000</v>
      </c>
      <c r="X64" s="121" t="s">
        <v>58</v>
      </c>
      <c r="Y64" s="121" t="s">
        <v>53</v>
      </c>
      <c r="Z64" s="121">
        <v>2</v>
      </c>
      <c r="AA64" s="376"/>
      <c r="AE64" s="155"/>
      <c r="AG64" s="155"/>
      <c r="AK64" s="155"/>
    </row>
    <row r="65" spans="16:37" ht="18" customHeight="1">
      <c r="P65" s="116">
        <v>64</v>
      </c>
      <c r="Q65" s="132" t="s">
        <v>313</v>
      </c>
      <c r="R65" s="133">
        <v>4</v>
      </c>
      <c r="S65" s="133">
        <v>5</v>
      </c>
      <c r="T65" s="133">
        <v>1</v>
      </c>
      <c r="U65" s="133">
        <v>9</v>
      </c>
      <c r="V65" s="134" t="s">
        <v>314</v>
      </c>
      <c r="W65" s="153">
        <v>100000</v>
      </c>
      <c r="X65" s="153" t="s">
        <v>73</v>
      </c>
      <c r="Y65" s="153" t="s">
        <v>24</v>
      </c>
      <c r="Z65" s="153">
        <v>4</v>
      </c>
      <c r="AA65" s="377"/>
      <c r="AE65" s="155"/>
      <c r="AG65" s="155"/>
      <c r="AK65" s="155"/>
    </row>
    <row r="66" spans="16:37" ht="18" customHeight="1">
      <c r="P66" s="116">
        <v>65</v>
      </c>
      <c r="Q66" s="125" t="s">
        <v>513</v>
      </c>
      <c r="R66" s="140">
        <v>8</v>
      </c>
      <c r="S66" s="140">
        <v>2</v>
      </c>
      <c r="T66" s="140">
        <v>3</v>
      </c>
      <c r="U66" s="140">
        <v>7</v>
      </c>
      <c r="V66" s="127" t="s">
        <v>112</v>
      </c>
      <c r="W66" s="141">
        <v>60000</v>
      </c>
      <c r="X66" s="141" t="s">
        <v>35</v>
      </c>
      <c r="Y66" s="141" t="s">
        <v>96</v>
      </c>
      <c r="Z66" s="141">
        <v>16</v>
      </c>
      <c r="AA66" s="373" t="s">
        <v>111</v>
      </c>
      <c r="AE66" s="155"/>
      <c r="AG66" s="155"/>
      <c r="AK66" s="155"/>
    </row>
    <row r="67" spans="16:37" ht="18" customHeight="1">
      <c r="P67" s="116">
        <v>66</v>
      </c>
      <c r="Q67" s="129" t="s">
        <v>514</v>
      </c>
      <c r="R67" s="142">
        <v>6</v>
      </c>
      <c r="S67" s="142">
        <v>4</v>
      </c>
      <c r="T67" s="142">
        <v>1</v>
      </c>
      <c r="U67" s="142">
        <v>9</v>
      </c>
      <c r="V67" s="119"/>
      <c r="W67" s="143">
        <v>80000</v>
      </c>
      <c r="X67" s="143" t="s">
        <v>58</v>
      </c>
      <c r="Y67" s="143" t="s">
        <v>53</v>
      </c>
      <c r="Z67" s="143">
        <v>6</v>
      </c>
      <c r="AA67" s="374"/>
      <c r="AE67" s="155"/>
      <c r="AG67" s="155"/>
      <c r="AK67" s="155"/>
    </row>
    <row r="68" spans="16:37" ht="18" customHeight="1">
      <c r="P68" s="116">
        <v>67</v>
      </c>
      <c r="Q68" s="132" t="s">
        <v>18</v>
      </c>
      <c r="R68" s="152">
        <v>6</v>
      </c>
      <c r="S68" s="152">
        <v>5</v>
      </c>
      <c r="T68" s="152">
        <v>1</v>
      </c>
      <c r="U68" s="152">
        <v>9</v>
      </c>
      <c r="V68" s="134" t="s">
        <v>113</v>
      </c>
      <c r="W68" s="153">
        <v>140000</v>
      </c>
      <c r="X68" s="153" t="s">
        <v>73</v>
      </c>
      <c r="Y68" s="153" t="s">
        <v>24</v>
      </c>
      <c r="Z68" s="153">
        <v>1</v>
      </c>
      <c r="AA68" s="378"/>
      <c r="AE68" s="155"/>
      <c r="AG68" s="155"/>
      <c r="AK68" s="155"/>
    </row>
    <row r="69" spans="16:37" ht="18" customHeight="1">
      <c r="P69" s="116">
        <v>68</v>
      </c>
      <c r="Q69" s="125" t="s">
        <v>114</v>
      </c>
      <c r="R69" s="140">
        <v>4</v>
      </c>
      <c r="S69" s="140">
        <v>3</v>
      </c>
      <c r="T69" s="140">
        <v>2</v>
      </c>
      <c r="U69" s="140">
        <v>8</v>
      </c>
      <c r="V69" s="127" t="s">
        <v>107</v>
      </c>
      <c r="W69" s="141">
        <v>40000</v>
      </c>
      <c r="X69" s="141" t="s">
        <v>13</v>
      </c>
      <c r="Y69" s="141" t="s">
        <v>55</v>
      </c>
      <c r="Z69" s="141">
        <v>16</v>
      </c>
      <c r="AA69" s="375" t="s">
        <v>520</v>
      </c>
      <c r="AE69" s="155"/>
      <c r="AG69" s="155"/>
      <c r="AK69" s="155"/>
    </row>
    <row r="70" spans="16:37" ht="18" customHeight="1">
      <c r="P70" s="116">
        <v>69</v>
      </c>
      <c r="Q70" s="129" t="s">
        <v>523</v>
      </c>
      <c r="R70" s="142">
        <v>7</v>
      </c>
      <c r="S70" s="142">
        <v>3</v>
      </c>
      <c r="T70" s="142">
        <v>3</v>
      </c>
      <c r="U70" s="142">
        <v>7</v>
      </c>
      <c r="V70" s="119" t="s">
        <v>59</v>
      </c>
      <c r="W70" s="143">
        <v>70000</v>
      </c>
      <c r="X70" s="143" t="s">
        <v>54</v>
      </c>
      <c r="Y70" s="143" t="s">
        <v>57</v>
      </c>
      <c r="Z70" s="143">
        <v>2</v>
      </c>
      <c r="AA70" s="376"/>
      <c r="AE70" s="155"/>
      <c r="AG70" s="155"/>
      <c r="AK70" s="155"/>
    </row>
    <row r="71" spans="16:37" ht="18" customHeight="1">
      <c r="P71" s="116">
        <v>70</v>
      </c>
      <c r="Q71" s="129" t="s">
        <v>524</v>
      </c>
      <c r="R71" s="142">
        <v>6</v>
      </c>
      <c r="S71" s="142">
        <v>3</v>
      </c>
      <c r="T71" s="142">
        <v>3</v>
      </c>
      <c r="U71" s="142">
        <v>8</v>
      </c>
      <c r="V71" s="119" t="s">
        <v>109</v>
      </c>
      <c r="W71" s="143">
        <v>90000</v>
      </c>
      <c r="X71" s="143" t="s">
        <v>58</v>
      </c>
      <c r="Y71" s="143" t="s">
        <v>53</v>
      </c>
      <c r="Z71" s="143">
        <v>2</v>
      </c>
      <c r="AA71" s="376"/>
      <c r="AE71" s="155"/>
      <c r="AG71" s="155"/>
      <c r="AK71" s="155"/>
    </row>
    <row r="72" spans="16:37" ht="18" customHeight="1">
      <c r="P72" s="116">
        <v>71</v>
      </c>
      <c r="Q72" s="129" t="s">
        <v>115</v>
      </c>
      <c r="R72" s="142">
        <v>4</v>
      </c>
      <c r="S72" s="142">
        <v>4</v>
      </c>
      <c r="T72" s="142">
        <v>2</v>
      </c>
      <c r="U72" s="142">
        <v>9</v>
      </c>
      <c r="V72" s="119" t="s">
        <v>117</v>
      </c>
      <c r="W72" s="143">
        <v>110000</v>
      </c>
      <c r="X72" s="143" t="s">
        <v>58</v>
      </c>
      <c r="Y72" s="143" t="s">
        <v>53</v>
      </c>
      <c r="Z72" s="143">
        <v>2</v>
      </c>
      <c r="AA72" s="376"/>
      <c r="AE72" s="155"/>
      <c r="AG72" s="155"/>
      <c r="AK72" s="155"/>
    </row>
    <row r="73" spans="16:37" ht="18" customHeight="1">
      <c r="P73" s="116">
        <v>72</v>
      </c>
      <c r="Q73" s="132" t="s">
        <v>116</v>
      </c>
      <c r="R73" s="152">
        <v>8</v>
      </c>
      <c r="S73" s="152">
        <v>3</v>
      </c>
      <c r="T73" s="152">
        <v>3</v>
      </c>
      <c r="U73" s="152">
        <v>8</v>
      </c>
      <c r="V73" s="134" t="s">
        <v>118</v>
      </c>
      <c r="W73" s="153">
        <v>120000</v>
      </c>
      <c r="X73" s="153" t="s">
        <v>54</v>
      </c>
      <c r="Y73" s="153" t="s">
        <v>57</v>
      </c>
      <c r="Z73" s="153">
        <v>2</v>
      </c>
      <c r="AA73" s="377"/>
      <c r="AE73" s="155"/>
      <c r="AG73" s="155"/>
      <c r="AK73" s="155"/>
    </row>
    <row r="74" spans="16:37" ht="18" customHeight="1">
      <c r="P74" s="116">
        <v>73</v>
      </c>
      <c r="Q74" s="138" t="s">
        <v>515</v>
      </c>
      <c r="R74" s="140">
        <v>6</v>
      </c>
      <c r="S74" s="140">
        <v>3</v>
      </c>
      <c r="T74" s="140">
        <v>3</v>
      </c>
      <c r="U74" s="140">
        <v>7</v>
      </c>
      <c r="V74" s="127" t="s">
        <v>75</v>
      </c>
      <c r="W74" s="141">
        <v>50000</v>
      </c>
      <c r="X74" s="141" t="s">
        <v>13</v>
      </c>
      <c r="Y74" s="141" t="s">
        <v>55</v>
      </c>
      <c r="Z74" s="141">
        <v>16</v>
      </c>
      <c r="AA74" s="373" t="s">
        <v>30</v>
      </c>
      <c r="AE74" s="155"/>
      <c r="AG74" s="155"/>
      <c r="AK74" s="155"/>
    </row>
    <row r="75" spans="16:37" ht="18" customHeight="1">
      <c r="P75" s="116">
        <v>74</v>
      </c>
      <c r="Q75" s="139" t="s">
        <v>516</v>
      </c>
      <c r="R75" s="142">
        <v>6</v>
      </c>
      <c r="S75" s="142">
        <v>3</v>
      </c>
      <c r="T75" s="142">
        <v>3</v>
      </c>
      <c r="U75" s="142">
        <v>7</v>
      </c>
      <c r="V75" s="119" t="s">
        <v>119</v>
      </c>
      <c r="W75" s="143">
        <v>70000</v>
      </c>
      <c r="X75" s="143" t="s">
        <v>52</v>
      </c>
      <c r="Y75" s="143" t="s">
        <v>56</v>
      </c>
      <c r="Z75" s="143">
        <v>2</v>
      </c>
      <c r="AA75" s="374"/>
      <c r="AE75" s="155"/>
      <c r="AG75" s="155"/>
      <c r="AK75" s="155"/>
    </row>
    <row r="76" spans="16:37" ht="18" customHeight="1">
      <c r="P76" s="116">
        <v>75</v>
      </c>
      <c r="Q76" s="139" t="s">
        <v>517</v>
      </c>
      <c r="R76" s="142">
        <v>7</v>
      </c>
      <c r="S76" s="142">
        <v>3</v>
      </c>
      <c r="T76" s="142">
        <v>3</v>
      </c>
      <c r="U76" s="142">
        <v>7</v>
      </c>
      <c r="V76" s="119" t="s">
        <v>120</v>
      </c>
      <c r="W76" s="143">
        <v>90000</v>
      </c>
      <c r="X76" s="143" t="s">
        <v>54</v>
      </c>
      <c r="Y76" s="143" t="s">
        <v>57</v>
      </c>
      <c r="Z76" s="143">
        <v>2</v>
      </c>
      <c r="AA76" s="374"/>
      <c r="AE76" s="155"/>
      <c r="AG76" s="155"/>
      <c r="AK76" s="155"/>
    </row>
    <row r="77" spans="16:37" ht="18" customHeight="1">
      <c r="P77" s="116">
        <v>76</v>
      </c>
      <c r="Q77" s="129" t="s">
        <v>518</v>
      </c>
      <c r="R77" s="142">
        <v>6</v>
      </c>
      <c r="S77" s="142">
        <v>3</v>
      </c>
      <c r="T77" s="142">
        <v>3</v>
      </c>
      <c r="U77" s="142">
        <v>7</v>
      </c>
      <c r="V77" s="119" t="s">
        <v>121</v>
      </c>
      <c r="W77" s="143">
        <v>90000</v>
      </c>
      <c r="X77" s="143" t="s">
        <v>58</v>
      </c>
      <c r="Y77" s="143" t="s">
        <v>53</v>
      </c>
      <c r="Z77" s="143">
        <v>2</v>
      </c>
      <c r="AA77" s="374"/>
      <c r="AE77" s="155"/>
      <c r="AG77" s="155"/>
      <c r="AK77" s="155"/>
    </row>
    <row r="78" spans="16:37" ht="18" customHeight="1">
      <c r="P78" s="116">
        <v>77</v>
      </c>
      <c r="Q78" s="129" t="s">
        <v>519</v>
      </c>
      <c r="R78" s="142">
        <v>6</v>
      </c>
      <c r="S78" s="142">
        <v>4</v>
      </c>
      <c r="T78" s="142">
        <v>2</v>
      </c>
      <c r="U78" s="142">
        <v>8</v>
      </c>
      <c r="V78" s="119" t="s">
        <v>122</v>
      </c>
      <c r="W78" s="143">
        <v>110000</v>
      </c>
      <c r="X78" s="143" t="s">
        <v>58</v>
      </c>
      <c r="Y78" s="143" t="s">
        <v>53</v>
      </c>
      <c r="Z78" s="143">
        <v>2</v>
      </c>
      <c r="AA78" s="374"/>
      <c r="AE78" s="155"/>
      <c r="AG78" s="155"/>
      <c r="AK78" s="155"/>
    </row>
    <row r="79" spans="16:37" ht="18" customHeight="1">
      <c r="P79" s="116">
        <v>78</v>
      </c>
      <c r="Q79" s="132" t="s">
        <v>315</v>
      </c>
      <c r="R79" s="152">
        <v>5</v>
      </c>
      <c r="S79" s="152">
        <v>5</v>
      </c>
      <c r="T79" s="152">
        <v>1</v>
      </c>
      <c r="U79" s="152">
        <v>8</v>
      </c>
      <c r="V79" s="134" t="s">
        <v>123</v>
      </c>
      <c r="W79" s="153">
        <v>140000</v>
      </c>
      <c r="X79" s="153" t="s">
        <v>73</v>
      </c>
      <c r="Y79" s="153" t="s">
        <v>24</v>
      </c>
      <c r="Z79" s="153">
        <v>1</v>
      </c>
      <c r="AA79" s="378"/>
      <c r="AE79" s="155"/>
      <c r="AG79" s="155"/>
      <c r="AK79" s="155"/>
    </row>
    <row r="80" spans="15:37" ht="18" customHeight="1">
      <c r="O80" s="157"/>
      <c r="P80" s="116">
        <v>79</v>
      </c>
      <c r="Q80" s="125" t="s">
        <v>124</v>
      </c>
      <c r="R80" s="140">
        <v>5</v>
      </c>
      <c r="S80" s="140">
        <v>3</v>
      </c>
      <c r="T80" s="140">
        <v>3</v>
      </c>
      <c r="U80" s="140">
        <v>8</v>
      </c>
      <c r="V80" s="127" t="s">
        <v>126</v>
      </c>
      <c r="W80" s="141">
        <v>40000</v>
      </c>
      <c r="X80" s="141" t="s">
        <v>37</v>
      </c>
      <c r="Y80" s="141" t="s">
        <v>55</v>
      </c>
      <c r="Z80" s="141">
        <v>16</v>
      </c>
      <c r="AA80" s="375" t="s">
        <v>39</v>
      </c>
      <c r="AE80" s="155"/>
      <c r="AG80" s="155"/>
      <c r="AK80" s="155"/>
    </row>
    <row r="81" spans="15:37" ht="18" customHeight="1">
      <c r="O81" s="157"/>
      <c r="P81" s="116">
        <v>80</v>
      </c>
      <c r="Q81" s="129" t="s">
        <v>125</v>
      </c>
      <c r="R81" s="142">
        <v>6</v>
      </c>
      <c r="S81" s="142">
        <v>3</v>
      </c>
      <c r="T81" s="142">
        <v>3</v>
      </c>
      <c r="U81" s="142">
        <v>8</v>
      </c>
      <c r="V81" s="119" t="s">
        <v>127</v>
      </c>
      <c r="W81" s="143">
        <v>80000</v>
      </c>
      <c r="X81" s="143" t="s">
        <v>67</v>
      </c>
      <c r="Y81" s="143" t="s">
        <v>53</v>
      </c>
      <c r="Z81" s="143">
        <v>4</v>
      </c>
      <c r="AA81" s="376"/>
      <c r="AE81" s="155"/>
      <c r="AG81" s="155"/>
      <c r="AK81" s="155"/>
    </row>
    <row r="82" spans="14:37" ht="18" customHeight="1">
      <c r="N82" s="158"/>
      <c r="O82" s="157"/>
      <c r="P82" s="116">
        <v>81</v>
      </c>
      <c r="Q82" s="129" t="s">
        <v>550</v>
      </c>
      <c r="R82" s="142">
        <v>4</v>
      </c>
      <c r="S82" s="142">
        <v>4</v>
      </c>
      <c r="T82" s="142">
        <v>2</v>
      </c>
      <c r="U82" s="142">
        <v>9</v>
      </c>
      <c r="V82" s="119" t="s">
        <v>128</v>
      </c>
      <c r="W82" s="143">
        <v>110000</v>
      </c>
      <c r="X82" s="143" t="s">
        <v>67</v>
      </c>
      <c r="Y82" s="143" t="s">
        <v>53</v>
      </c>
      <c r="Z82" s="143">
        <v>4</v>
      </c>
      <c r="AA82" s="376"/>
      <c r="AE82" s="155"/>
      <c r="AG82" s="155"/>
      <c r="AK82" s="155"/>
    </row>
    <row r="83" spans="14:37" ht="18" customHeight="1">
      <c r="N83" s="158"/>
      <c r="O83" s="157"/>
      <c r="P83" s="116">
        <v>82</v>
      </c>
      <c r="Q83" s="132" t="s">
        <v>549</v>
      </c>
      <c r="R83" s="152">
        <v>4</v>
      </c>
      <c r="S83" s="152">
        <v>5</v>
      </c>
      <c r="T83" s="152">
        <v>1</v>
      </c>
      <c r="U83" s="152">
        <v>9</v>
      </c>
      <c r="V83" s="134" t="s">
        <v>129</v>
      </c>
      <c r="W83" s="153">
        <v>140000</v>
      </c>
      <c r="X83" s="153" t="s">
        <v>73</v>
      </c>
      <c r="Y83" s="153" t="s">
        <v>4</v>
      </c>
      <c r="Z83" s="153">
        <v>1</v>
      </c>
      <c r="AA83" s="377"/>
      <c r="AE83" s="155"/>
      <c r="AG83" s="155"/>
      <c r="AK83" s="155"/>
    </row>
    <row r="84" spans="14:37" ht="18" customHeight="1">
      <c r="N84" s="158"/>
      <c r="O84" s="157"/>
      <c r="P84" s="116">
        <v>83</v>
      </c>
      <c r="Q84" s="125" t="s">
        <v>525</v>
      </c>
      <c r="R84" s="140">
        <v>5</v>
      </c>
      <c r="S84" s="140">
        <v>1</v>
      </c>
      <c r="T84" s="140">
        <v>3</v>
      </c>
      <c r="U84" s="140">
        <v>5</v>
      </c>
      <c r="V84" s="127" t="s">
        <v>131</v>
      </c>
      <c r="W84" s="141">
        <v>20000</v>
      </c>
      <c r="X84" s="141" t="s">
        <v>35</v>
      </c>
      <c r="Y84" s="141" t="s">
        <v>96</v>
      </c>
      <c r="Z84" s="141">
        <v>16</v>
      </c>
      <c r="AA84" s="373" t="s">
        <v>38</v>
      </c>
      <c r="AE84" s="155"/>
      <c r="AG84" s="155"/>
      <c r="AK84" s="155"/>
    </row>
    <row r="85" spans="14:37" ht="18" customHeight="1">
      <c r="N85" s="158"/>
      <c r="P85" s="116">
        <v>84</v>
      </c>
      <c r="Q85" s="132" t="s">
        <v>132</v>
      </c>
      <c r="R85" s="152">
        <v>5</v>
      </c>
      <c r="S85" s="152">
        <v>5</v>
      </c>
      <c r="T85" s="152">
        <v>2</v>
      </c>
      <c r="U85" s="152">
        <v>9</v>
      </c>
      <c r="V85" s="134" t="s">
        <v>133</v>
      </c>
      <c r="W85" s="153">
        <v>140000</v>
      </c>
      <c r="X85" s="153" t="s">
        <v>73</v>
      </c>
      <c r="Y85" s="153" t="s">
        <v>24</v>
      </c>
      <c r="Z85" s="153">
        <v>6</v>
      </c>
      <c r="AA85" s="378"/>
      <c r="AE85" s="155"/>
      <c r="AG85" s="155"/>
      <c r="AK85" s="155"/>
    </row>
    <row r="86" spans="14:37" ht="18" customHeight="1">
      <c r="N86" s="158"/>
      <c r="P86" s="116">
        <v>85</v>
      </c>
      <c r="Q86" s="125" t="s">
        <v>555</v>
      </c>
      <c r="R86" s="140">
        <v>5</v>
      </c>
      <c r="S86" s="140">
        <v>3</v>
      </c>
      <c r="T86" s="140">
        <v>3</v>
      </c>
      <c r="U86" s="140">
        <v>9</v>
      </c>
      <c r="V86" s="127"/>
      <c r="W86" s="141">
        <v>50000</v>
      </c>
      <c r="X86" s="141" t="s">
        <v>13</v>
      </c>
      <c r="Y86" s="141" t="s">
        <v>55</v>
      </c>
      <c r="Z86" s="141">
        <v>16</v>
      </c>
      <c r="AA86" s="375" t="s">
        <v>134</v>
      </c>
      <c r="AE86" s="155"/>
      <c r="AG86" s="155"/>
      <c r="AK86" s="155"/>
    </row>
    <row r="87" spans="14:37" ht="18" customHeight="1">
      <c r="N87" s="158"/>
      <c r="P87" s="116">
        <v>86</v>
      </c>
      <c r="Q87" s="98" t="s">
        <v>374</v>
      </c>
      <c r="R87" s="99">
        <v>6</v>
      </c>
      <c r="S87" s="99">
        <v>2</v>
      </c>
      <c r="T87" s="99">
        <v>3</v>
      </c>
      <c r="U87" s="99">
        <v>7</v>
      </c>
      <c r="V87" s="100" t="s">
        <v>371</v>
      </c>
      <c r="W87" s="101">
        <v>40000</v>
      </c>
      <c r="X87" s="101" t="s">
        <v>35</v>
      </c>
      <c r="Y87" s="101" t="s">
        <v>96</v>
      </c>
      <c r="Z87" s="101">
        <v>4</v>
      </c>
      <c r="AA87" s="376"/>
      <c r="AE87" s="155"/>
      <c r="AG87" s="155"/>
      <c r="AK87" s="155"/>
    </row>
    <row r="88" spans="14:37" ht="18" customHeight="1">
      <c r="N88" s="158"/>
      <c r="P88" s="116">
        <v>87</v>
      </c>
      <c r="Q88" s="129" t="s">
        <v>556</v>
      </c>
      <c r="R88" s="142">
        <v>5</v>
      </c>
      <c r="S88" s="142">
        <v>3</v>
      </c>
      <c r="T88" s="142">
        <v>3</v>
      </c>
      <c r="U88" s="142">
        <v>8</v>
      </c>
      <c r="V88" s="119" t="s">
        <v>104</v>
      </c>
      <c r="W88" s="143">
        <v>70000</v>
      </c>
      <c r="X88" s="143" t="s">
        <v>52</v>
      </c>
      <c r="Y88" s="143" t="s">
        <v>56</v>
      </c>
      <c r="Z88" s="143">
        <v>2</v>
      </c>
      <c r="AA88" s="376"/>
      <c r="AE88" s="155"/>
      <c r="AG88" s="155"/>
      <c r="AK88" s="155"/>
    </row>
    <row r="89" spans="14:37" ht="18" customHeight="1">
      <c r="N89" s="158"/>
      <c r="O89" s="157"/>
      <c r="P89" s="116">
        <v>88</v>
      </c>
      <c r="Q89" s="129" t="s">
        <v>135</v>
      </c>
      <c r="R89" s="142">
        <v>4</v>
      </c>
      <c r="S89" s="142">
        <v>4</v>
      </c>
      <c r="T89" s="142">
        <v>2</v>
      </c>
      <c r="U89" s="142">
        <v>9</v>
      </c>
      <c r="V89" s="119"/>
      <c r="W89" s="143">
        <v>80000</v>
      </c>
      <c r="X89" s="143" t="s">
        <v>58</v>
      </c>
      <c r="Y89" s="143" t="s">
        <v>53</v>
      </c>
      <c r="Z89" s="143">
        <v>4</v>
      </c>
      <c r="AA89" s="376"/>
      <c r="AE89" s="155"/>
      <c r="AG89" s="155"/>
      <c r="AK89" s="155"/>
    </row>
    <row r="90" spans="14:37" ht="18" customHeight="1">
      <c r="N90" s="158"/>
      <c r="O90" s="157"/>
      <c r="P90" s="116">
        <v>89</v>
      </c>
      <c r="Q90" s="129" t="s">
        <v>557</v>
      </c>
      <c r="R90" s="142">
        <v>6</v>
      </c>
      <c r="S90" s="142">
        <v>3</v>
      </c>
      <c r="T90" s="142">
        <v>3</v>
      </c>
      <c r="U90" s="142">
        <v>9</v>
      </c>
      <c r="V90" s="119" t="s">
        <v>75</v>
      </c>
      <c r="W90" s="143">
        <v>80000</v>
      </c>
      <c r="X90" s="143" t="s">
        <v>58</v>
      </c>
      <c r="Y90" s="143" t="s">
        <v>53</v>
      </c>
      <c r="Z90" s="143">
        <v>4</v>
      </c>
      <c r="AA90" s="376"/>
      <c r="AE90" s="155"/>
      <c r="AG90" s="155"/>
      <c r="AK90" s="155"/>
    </row>
    <row r="91" spans="14:37" ht="18" customHeight="1">
      <c r="N91" s="158"/>
      <c r="O91" s="157"/>
      <c r="P91" s="116">
        <v>90</v>
      </c>
      <c r="Q91" s="129" t="s">
        <v>375</v>
      </c>
      <c r="R91" s="142">
        <v>4</v>
      </c>
      <c r="S91" s="142">
        <v>5</v>
      </c>
      <c r="T91" s="142">
        <v>1</v>
      </c>
      <c r="U91" s="142">
        <v>9</v>
      </c>
      <c r="V91" s="119" t="s">
        <v>95</v>
      </c>
      <c r="W91" s="143">
        <v>110000</v>
      </c>
      <c r="X91" s="143" t="s">
        <v>73</v>
      </c>
      <c r="Y91" s="143" t="s">
        <v>24</v>
      </c>
      <c r="Z91" s="143">
        <v>1</v>
      </c>
      <c r="AA91" s="377"/>
      <c r="AE91" s="155"/>
      <c r="AG91" s="155"/>
      <c r="AK91" s="155"/>
    </row>
    <row r="92" spans="14:37" ht="18" customHeight="1">
      <c r="N92" s="158"/>
      <c r="O92" s="157"/>
      <c r="P92" s="116">
        <v>91</v>
      </c>
      <c r="Q92" s="125" t="s">
        <v>558</v>
      </c>
      <c r="R92" s="140">
        <v>7</v>
      </c>
      <c r="S92" s="140">
        <v>3</v>
      </c>
      <c r="T92" s="140">
        <v>3</v>
      </c>
      <c r="U92" s="140">
        <v>7</v>
      </c>
      <c r="V92" s="127"/>
      <c r="W92" s="141">
        <v>50000</v>
      </c>
      <c r="X92" s="141" t="s">
        <v>13</v>
      </c>
      <c r="Y92" s="141" t="s">
        <v>139</v>
      </c>
      <c r="Z92" s="141">
        <v>16</v>
      </c>
      <c r="AA92" s="373" t="s">
        <v>31</v>
      </c>
      <c r="AE92" s="155"/>
      <c r="AG92" s="155"/>
      <c r="AK92" s="155"/>
    </row>
    <row r="93" spans="14:37" ht="18" customHeight="1">
      <c r="N93" s="158"/>
      <c r="O93" s="157"/>
      <c r="P93" s="116">
        <v>92</v>
      </c>
      <c r="Q93" s="129" t="s">
        <v>559</v>
      </c>
      <c r="R93" s="142">
        <v>7</v>
      </c>
      <c r="S93" s="142">
        <v>3</v>
      </c>
      <c r="T93" s="142">
        <v>3</v>
      </c>
      <c r="U93" s="142">
        <v>7</v>
      </c>
      <c r="V93" s="119" t="s">
        <v>103</v>
      </c>
      <c r="W93" s="143">
        <v>70000</v>
      </c>
      <c r="X93" s="143" t="s">
        <v>52</v>
      </c>
      <c r="Y93" s="143" t="s">
        <v>140</v>
      </c>
      <c r="Z93" s="143">
        <v>2</v>
      </c>
      <c r="AA93" s="374"/>
      <c r="AE93" s="155"/>
      <c r="AG93" s="155"/>
      <c r="AK93" s="155"/>
    </row>
    <row r="94" spans="15:37" ht="18" customHeight="1">
      <c r="O94" s="157"/>
      <c r="P94" s="116">
        <v>93</v>
      </c>
      <c r="Q94" s="129" t="s">
        <v>136</v>
      </c>
      <c r="R94" s="142">
        <v>9</v>
      </c>
      <c r="S94" s="142">
        <v>2</v>
      </c>
      <c r="T94" s="142">
        <v>4</v>
      </c>
      <c r="U94" s="142">
        <v>7</v>
      </c>
      <c r="V94" s="119" t="s">
        <v>561</v>
      </c>
      <c r="W94" s="143">
        <v>80000</v>
      </c>
      <c r="X94" s="143" t="s">
        <v>54</v>
      </c>
      <c r="Y94" s="143" t="s">
        <v>141</v>
      </c>
      <c r="Z94" s="143">
        <v>4</v>
      </c>
      <c r="AA94" s="374"/>
      <c r="AE94" s="155"/>
      <c r="AG94" s="155"/>
      <c r="AK94" s="155"/>
    </row>
    <row r="95" spans="15:37" ht="18" customHeight="1">
      <c r="O95" s="157"/>
      <c r="P95" s="116">
        <v>94</v>
      </c>
      <c r="Q95" s="129" t="s">
        <v>560</v>
      </c>
      <c r="R95" s="142">
        <v>7</v>
      </c>
      <c r="S95" s="142">
        <v>3</v>
      </c>
      <c r="T95" s="142">
        <v>3</v>
      </c>
      <c r="U95" s="142">
        <v>8</v>
      </c>
      <c r="V95" s="119" t="s">
        <v>75</v>
      </c>
      <c r="W95" s="143">
        <v>90000</v>
      </c>
      <c r="X95" s="143" t="s">
        <v>58</v>
      </c>
      <c r="Y95" s="143" t="s">
        <v>36</v>
      </c>
      <c r="Z95" s="143">
        <v>2</v>
      </c>
      <c r="AA95" s="374"/>
      <c r="AE95" s="155"/>
      <c r="AG95" s="155"/>
      <c r="AK95" s="155"/>
    </row>
    <row r="96" spans="15:37" ht="18" customHeight="1">
      <c r="O96" s="157"/>
      <c r="P96" s="116">
        <v>95</v>
      </c>
      <c r="Q96" s="132" t="s">
        <v>137</v>
      </c>
      <c r="R96" s="152">
        <v>6</v>
      </c>
      <c r="S96" s="152">
        <v>5</v>
      </c>
      <c r="T96" s="152">
        <v>2</v>
      </c>
      <c r="U96" s="152">
        <v>8</v>
      </c>
      <c r="V96" s="134" t="s">
        <v>138</v>
      </c>
      <c r="W96" s="153">
        <v>150000</v>
      </c>
      <c r="X96" s="153" t="s">
        <v>73</v>
      </c>
      <c r="Y96" s="153" t="s">
        <v>4</v>
      </c>
      <c r="Z96" s="153">
        <v>1</v>
      </c>
      <c r="AA96" s="378"/>
      <c r="AE96" s="155"/>
      <c r="AG96" s="155"/>
      <c r="AK96" s="155"/>
    </row>
    <row r="97" spans="15:37" ht="18" customHeight="1">
      <c r="O97" s="157"/>
      <c r="P97" s="116">
        <v>96</v>
      </c>
      <c r="Q97" s="129" t="s">
        <v>562</v>
      </c>
      <c r="R97" s="142">
        <v>6</v>
      </c>
      <c r="S97" s="142">
        <v>3</v>
      </c>
      <c r="T97" s="142">
        <v>3</v>
      </c>
      <c r="U97" s="142">
        <v>8</v>
      </c>
      <c r="V97" s="119" t="s">
        <v>298</v>
      </c>
      <c r="W97" s="143">
        <v>60000</v>
      </c>
      <c r="X97" s="143" t="s">
        <v>13</v>
      </c>
      <c r="Y97" s="143" t="s">
        <v>55</v>
      </c>
      <c r="Z97" s="143">
        <v>16</v>
      </c>
      <c r="AA97" s="379" t="s">
        <v>297</v>
      </c>
      <c r="AE97" s="155"/>
      <c r="AG97" s="155"/>
      <c r="AK97" s="155"/>
    </row>
    <row r="98" spans="16:37" ht="18" customHeight="1">
      <c r="P98" s="116">
        <v>97</v>
      </c>
      <c r="Q98" s="129" t="s">
        <v>563</v>
      </c>
      <c r="R98" s="142">
        <v>7</v>
      </c>
      <c r="S98" s="142">
        <v>2</v>
      </c>
      <c r="T98" s="142">
        <v>4</v>
      </c>
      <c r="U98" s="142">
        <v>7</v>
      </c>
      <c r="V98" s="119" t="s">
        <v>299</v>
      </c>
      <c r="W98" s="143">
        <v>80000</v>
      </c>
      <c r="X98" s="143" t="s">
        <v>54</v>
      </c>
      <c r="Y98" s="143" t="s">
        <v>57</v>
      </c>
      <c r="Z98" s="143">
        <v>4</v>
      </c>
      <c r="AA98" s="380"/>
      <c r="AE98" s="155"/>
      <c r="AG98" s="155"/>
      <c r="AK98" s="155"/>
    </row>
    <row r="99" spans="16:37" ht="18" customHeight="1">
      <c r="P99" s="116">
        <v>98</v>
      </c>
      <c r="Q99" s="129" t="s">
        <v>564</v>
      </c>
      <c r="R99" s="142">
        <v>7</v>
      </c>
      <c r="S99" s="142">
        <v>3</v>
      </c>
      <c r="T99" s="142">
        <v>3</v>
      </c>
      <c r="U99" s="142">
        <v>8</v>
      </c>
      <c r="V99" s="119" t="s">
        <v>300</v>
      </c>
      <c r="W99" s="143">
        <v>110000</v>
      </c>
      <c r="X99" s="143" t="s">
        <v>143</v>
      </c>
      <c r="Y99" s="143" t="s">
        <v>11</v>
      </c>
      <c r="Z99" s="143">
        <v>4</v>
      </c>
      <c r="AA99" s="380"/>
      <c r="AE99" s="155"/>
      <c r="AG99" s="155"/>
      <c r="AK99" s="155"/>
    </row>
    <row r="100" spans="16:37" ht="18" customHeight="1">
      <c r="P100" s="116">
        <v>99</v>
      </c>
      <c r="Q100" s="132" t="s">
        <v>370</v>
      </c>
      <c r="R100" s="152">
        <v>6</v>
      </c>
      <c r="S100" s="152">
        <v>5</v>
      </c>
      <c r="T100" s="152">
        <v>1</v>
      </c>
      <c r="U100" s="152">
        <v>9</v>
      </c>
      <c r="V100" s="134" t="s">
        <v>113</v>
      </c>
      <c r="W100" s="153">
        <v>140000</v>
      </c>
      <c r="X100" s="153" t="s">
        <v>73</v>
      </c>
      <c r="Y100" s="153" t="s">
        <v>24</v>
      </c>
      <c r="Z100" s="153">
        <v>1</v>
      </c>
      <c r="AA100" s="381"/>
      <c r="AE100" s="155"/>
      <c r="AG100" s="155"/>
      <c r="AK100" s="155"/>
    </row>
    <row r="101" spans="16:37" ht="18" customHeight="1">
      <c r="P101" s="116">
        <v>100</v>
      </c>
      <c r="Q101" s="125" t="s">
        <v>510</v>
      </c>
      <c r="R101" s="126">
        <v>5</v>
      </c>
      <c r="S101" s="126">
        <v>3</v>
      </c>
      <c r="T101" s="126">
        <v>2</v>
      </c>
      <c r="U101" s="126">
        <v>7</v>
      </c>
      <c r="V101" s="127" t="s">
        <v>312</v>
      </c>
      <c r="W101" s="128">
        <v>40000</v>
      </c>
      <c r="X101" s="128" t="s">
        <v>13</v>
      </c>
      <c r="Y101" s="128" t="s">
        <v>55</v>
      </c>
      <c r="Z101" s="128">
        <v>16</v>
      </c>
      <c r="AA101" s="375" t="s">
        <v>521</v>
      </c>
      <c r="AE101" s="155"/>
      <c r="AG101" s="155"/>
      <c r="AK101" s="155"/>
    </row>
    <row r="102" spans="16:37" ht="18" customHeight="1">
      <c r="P102" s="116">
        <v>101</v>
      </c>
      <c r="Q102" s="159" t="s">
        <v>114</v>
      </c>
      <c r="R102" s="130">
        <v>4</v>
      </c>
      <c r="S102" s="130">
        <v>3</v>
      </c>
      <c r="T102" s="130">
        <v>2</v>
      </c>
      <c r="U102" s="130">
        <v>8</v>
      </c>
      <c r="V102" s="119" t="s">
        <v>107</v>
      </c>
      <c r="W102" s="121">
        <v>40000</v>
      </c>
      <c r="X102" s="121" t="s">
        <v>13</v>
      </c>
      <c r="Y102" s="121" t="s">
        <v>55</v>
      </c>
      <c r="Z102" s="121">
        <v>16</v>
      </c>
      <c r="AA102" s="376"/>
      <c r="AE102" s="155"/>
      <c r="AG102" s="155"/>
      <c r="AK102" s="155"/>
    </row>
    <row r="103" spans="16:37" ht="18" customHeight="1">
      <c r="P103" s="116">
        <v>102</v>
      </c>
      <c r="Q103" s="159" t="s">
        <v>522</v>
      </c>
      <c r="R103" s="130">
        <v>7</v>
      </c>
      <c r="S103" s="130">
        <v>3</v>
      </c>
      <c r="T103" s="130">
        <v>3</v>
      </c>
      <c r="U103" s="130">
        <v>7</v>
      </c>
      <c r="V103" s="119" t="s">
        <v>59</v>
      </c>
      <c r="W103" s="121">
        <v>70000</v>
      </c>
      <c r="X103" s="121" t="s">
        <v>54</v>
      </c>
      <c r="Y103" s="121" t="s">
        <v>57</v>
      </c>
      <c r="Z103" s="121">
        <v>4</v>
      </c>
      <c r="AA103" s="376"/>
      <c r="AE103" s="155"/>
      <c r="AG103" s="155"/>
      <c r="AK103" s="155"/>
    </row>
    <row r="104" spans="16:37" ht="18" customHeight="1">
      <c r="P104" s="116">
        <v>103</v>
      </c>
      <c r="Q104" s="159" t="s">
        <v>524</v>
      </c>
      <c r="R104" s="130">
        <v>6</v>
      </c>
      <c r="S104" s="130">
        <v>3</v>
      </c>
      <c r="T104" s="130">
        <v>3</v>
      </c>
      <c r="U104" s="130">
        <v>8</v>
      </c>
      <c r="V104" s="119" t="s">
        <v>109</v>
      </c>
      <c r="W104" s="121">
        <v>90000</v>
      </c>
      <c r="X104" s="121" t="s">
        <v>58</v>
      </c>
      <c r="Y104" s="121" t="s">
        <v>53</v>
      </c>
      <c r="Z104" s="121">
        <v>2</v>
      </c>
      <c r="AA104" s="376"/>
      <c r="AE104" s="155"/>
      <c r="AG104" s="155"/>
      <c r="AK104" s="155"/>
    </row>
    <row r="105" spans="16:37" ht="18" customHeight="1">
      <c r="P105" s="116">
        <v>104</v>
      </c>
      <c r="Q105" s="129" t="s">
        <v>106</v>
      </c>
      <c r="R105" s="130">
        <v>3</v>
      </c>
      <c r="S105" s="130">
        <v>5</v>
      </c>
      <c r="T105" s="130">
        <v>1</v>
      </c>
      <c r="U105" s="130">
        <v>9</v>
      </c>
      <c r="V105" s="119" t="s">
        <v>110</v>
      </c>
      <c r="W105" s="121">
        <v>120000</v>
      </c>
      <c r="X105" s="121" t="s">
        <v>73</v>
      </c>
      <c r="Y105" s="121" t="s">
        <v>24</v>
      </c>
      <c r="Z105" s="121">
        <v>2</v>
      </c>
      <c r="AA105" s="377"/>
      <c r="AE105" s="155"/>
      <c r="AG105" s="155"/>
      <c r="AK105" s="155"/>
    </row>
    <row r="106" spans="16:37" ht="18" customHeight="1">
      <c r="P106" s="116">
        <v>105</v>
      </c>
      <c r="Q106" s="125" t="s">
        <v>526</v>
      </c>
      <c r="R106" s="140">
        <v>6</v>
      </c>
      <c r="S106" s="140">
        <v>2</v>
      </c>
      <c r="T106" s="140">
        <v>3</v>
      </c>
      <c r="U106" s="140">
        <v>7</v>
      </c>
      <c r="V106" s="127" t="s">
        <v>371</v>
      </c>
      <c r="W106" s="141">
        <v>40000</v>
      </c>
      <c r="X106" s="141" t="s">
        <v>295</v>
      </c>
      <c r="Y106" s="141" t="s">
        <v>96</v>
      </c>
      <c r="Z106" s="141">
        <v>12</v>
      </c>
      <c r="AA106" s="379" t="s">
        <v>305</v>
      </c>
      <c r="AE106" s="155"/>
      <c r="AG106" s="155"/>
      <c r="AK106" s="155"/>
    </row>
    <row r="107" spans="16:37" ht="18" customHeight="1">
      <c r="P107" s="116">
        <v>106</v>
      </c>
      <c r="Q107" s="129" t="s">
        <v>527</v>
      </c>
      <c r="R107" s="142">
        <v>7</v>
      </c>
      <c r="S107" s="142">
        <v>3</v>
      </c>
      <c r="T107" s="142">
        <v>3</v>
      </c>
      <c r="U107" s="142">
        <v>7</v>
      </c>
      <c r="V107" s="119" t="s">
        <v>293</v>
      </c>
      <c r="W107" s="143">
        <v>50000</v>
      </c>
      <c r="X107" s="143" t="s">
        <v>37</v>
      </c>
      <c r="Y107" s="143" t="s">
        <v>55</v>
      </c>
      <c r="Z107" s="143">
        <v>2</v>
      </c>
      <c r="AA107" s="380"/>
      <c r="AE107" s="155"/>
      <c r="AG107" s="155"/>
      <c r="AK107" s="155"/>
    </row>
    <row r="108" spans="16:37" ht="18" customHeight="1">
      <c r="P108" s="94">
        <v>107</v>
      </c>
      <c r="Q108" s="159" t="s">
        <v>528</v>
      </c>
      <c r="R108" s="142">
        <v>7</v>
      </c>
      <c r="S108" s="142">
        <v>3</v>
      </c>
      <c r="T108" s="142">
        <v>3</v>
      </c>
      <c r="U108" s="142">
        <v>7</v>
      </c>
      <c r="V108" s="119" t="s">
        <v>301</v>
      </c>
      <c r="W108" s="143">
        <v>70000</v>
      </c>
      <c r="X108" s="143" t="s">
        <v>304</v>
      </c>
      <c r="Y108" s="143" t="s">
        <v>56</v>
      </c>
      <c r="Z108" s="143">
        <v>2</v>
      </c>
      <c r="AA108" s="380"/>
      <c r="AE108" s="155"/>
      <c r="AG108" s="155"/>
      <c r="AK108" s="155"/>
    </row>
    <row r="109" spans="16:37" ht="18" customHeight="1">
      <c r="P109" s="94">
        <v>108</v>
      </c>
      <c r="Q109" s="159" t="s">
        <v>529</v>
      </c>
      <c r="R109" s="142">
        <v>7</v>
      </c>
      <c r="S109" s="142">
        <v>3</v>
      </c>
      <c r="T109" s="142">
        <v>3</v>
      </c>
      <c r="U109" s="142">
        <v>8</v>
      </c>
      <c r="V109" s="119" t="s">
        <v>302</v>
      </c>
      <c r="W109" s="143">
        <v>90000</v>
      </c>
      <c r="X109" s="143" t="s">
        <v>67</v>
      </c>
      <c r="Y109" s="143" t="s">
        <v>53</v>
      </c>
      <c r="Z109" s="143">
        <v>2</v>
      </c>
      <c r="AA109" s="380"/>
      <c r="AE109" s="155"/>
      <c r="AG109" s="155"/>
      <c r="AK109" s="155"/>
    </row>
    <row r="110" spans="16:37" ht="18" customHeight="1">
      <c r="P110" s="94">
        <v>109</v>
      </c>
      <c r="Q110" s="161" t="s">
        <v>530</v>
      </c>
      <c r="R110" s="142">
        <v>4</v>
      </c>
      <c r="S110" s="142">
        <v>5</v>
      </c>
      <c r="T110" s="142">
        <v>1</v>
      </c>
      <c r="U110" s="142">
        <v>9</v>
      </c>
      <c r="V110" s="119" t="s">
        <v>95</v>
      </c>
      <c r="W110" s="143">
        <v>110000</v>
      </c>
      <c r="X110" s="143" t="s">
        <v>68</v>
      </c>
      <c r="Y110" s="143" t="s">
        <v>24</v>
      </c>
      <c r="Z110" s="143">
        <v>1</v>
      </c>
      <c r="AA110" s="381"/>
      <c r="AE110" s="155"/>
      <c r="AG110" s="155"/>
      <c r="AK110" s="155"/>
    </row>
    <row r="111" spans="16:37" ht="18" customHeight="1">
      <c r="P111" s="94">
        <v>110</v>
      </c>
      <c r="Q111" s="160" t="s">
        <v>531</v>
      </c>
      <c r="R111" s="140">
        <v>6</v>
      </c>
      <c r="S111" s="140">
        <v>3</v>
      </c>
      <c r="T111" s="140">
        <v>3</v>
      </c>
      <c r="U111" s="140">
        <v>7</v>
      </c>
      <c r="V111" s="127"/>
      <c r="W111" s="141">
        <v>40000</v>
      </c>
      <c r="X111" s="141" t="s">
        <v>13</v>
      </c>
      <c r="Y111" s="141" t="s">
        <v>55</v>
      </c>
      <c r="Z111" s="141">
        <v>16</v>
      </c>
      <c r="AA111" s="373" t="s">
        <v>25</v>
      </c>
      <c r="AE111" s="155"/>
      <c r="AG111" s="155"/>
      <c r="AK111" s="155"/>
    </row>
    <row r="112" spans="16:37" ht="18" customHeight="1">
      <c r="P112" s="94">
        <v>111</v>
      </c>
      <c r="Q112" s="161" t="s">
        <v>532</v>
      </c>
      <c r="R112" s="152">
        <v>6</v>
      </c>
      <c r="S112" s="152">
        <v>4</v>
      </c>
      <c r="T112" s="152">
        <v>4</v>
      </c>
      <c r="U112" s="152">
        <v>8</v>
      </c>
      <c r="V112" s="134" t="s">
        <v>142</v>
      </c>
      <c r="W112" s="153">
        <v>110000</v>
      </c>
      <c r="X112" s="153" t="s">
        <v>143</v>
      </c>
      <c r="Y112" s="153" t="s">
        <v>11</v>
      </c>
      <c r="Z112" s="143">
        <v>6</v>
      </c>
      <c r="AA112" s="374"/>
      <c r="AE112" s="155"/>
      <c r="AG112" s="155"/>
      <c r="AK112" s="155"/>
    </row>
    <row r="113" spans="16:37" ht="18" customHeight="1">
      <c r="P113" s="94">
        <v>112</v>
      </c>
      <c r="Q113" s="160" t="s">
        <v>567</v>
      </c>
      <c r="R113" s="126">
        <v>7</v>
      </c>
      <c r="S113" s="126">
        <v>3</v>
      </c>
      <c r="T113" s="126">
        <v>4</v>
      </c>
      <c r="U113" s="126">
        <v>7</v>
      </c>
      <c r="V113" s="127"/>
      <c r="W113" s="128">
        <v>70000</v>
      </c>
      <c r="X113" s="128" t="s">
        <v>54</v>
      </c>
      <c r="Y113" s="128" t="s">
        <v>57</v>
      </c>
      <c r="Z113" s="128">
        <v>16</v>
      </c>
      <c r="AA113" s="375" t="s">
        <v>144</v>
      </c>
      <c r="AE113" s="155"/>
      <c r="AG113" s="155"/>
      <c r="AK113" s="155"/>
    </row>
    <row r="114" spans="16:37" ht="18" customHeight="1">
      <c r="P114" s="94">
        <v>113</v>
      </c>
      <c r="Q114" s="159" t="s">
        <v>568</v>
      </c>
      <c r="R114" s="130">
        <v>8</v>
      </c>
      <c r="S114" s="130">
        <v>2</v>
      </c>
      <c r="T114" s="130">
        <v>4</v>
      </c>
      <c r="U114" s="130">
        <v>7</v>
      </c>
      <c r="V114" s="119" t="s">
        <v>317</v>
      </c>
      <c r="W114" s="121">
        <v>90000</v>
      </c>
      <c r="X114" s="121" t="s">
        <v>54</v>
      </c>
      <c r="Y114" s="121" t="s">
        <v>57</v>
      </c>
      <c r="Z114" s="121">
        <v>4</v>
      </c>
      <c r="AA114" s="376"/>
      <c r="AE114" s="155"/>
      <c r="AG114" s="155"/>
      <c r="AK114" s="155"/>
    </row>
    <row r="115" spans="16:37" ht="12.75">
      <c r="P115" s="94">
        <v>114</v>
      </c>
      <c r="Q115" s="159" t="s">
        <v>569</v>
      </c>
      <c r="R115" s="130">
        <v>7</v>
      </c>
      <c r="S115" s="130">
        <v>3</v>
      </c>
      <c r="T115" s="130">
        <v>4</v>
      </c>
      <c r="U115" s="130">
        <v>7</v>
      </c>
      <c r="V115" s="119" t="s">
        <v>89</v>
      </c>
      <c r="W115" s="121">
        <v>90000</v>
      </c>
      <c r="X115" s="121" t="s">
        <v>24</v>
      </c>
      <c r="Y115" s="121" t="s">
        <v>73</v>
      </c>
      <c r="Z115" s="121">
        <v>2</v>
      </c>
      <c r="AA115" s="376"/>
      <c r="AE115" s="155"/>
      <c r="AG115" s="155"/>
      <c r="AK115" s="155"/>
    </row>
    <row r="116" spans="16:37" ht="12.75">
      <c r="P116" s="94">
        <v>115</v>
      </c>
      <c r="Q116" s="159" t="s">
        <v>32</v>
      </c>
      <c r="R116" s="130">
        <v>8</v>
      </c>
      <c r="S116" s="130">
        <v>3</v>
      </c>
      <c r="T116" s="130">
        <v>4</v>
      </c>
      <c r="U116" s="130">
        <v>7</v>
      </c>
      <c r="V116" s="119" t="s">
        <v>145</v>
      </c>
      <c r="W116" s="121">
        <v>120000</v>
      </c>
      <c r="X116" s="121" t="s">
        <v>54</v>
      </c>
      <c r="Y116" s="121" t="s">
        <v>57</v>
      </c>
      <c r="Z116" s="121">
        <v>2</v>
      </c>
      <c r="AA116" s="376"/>
      <c r="AE116" s="155"/>
      <c r="AG116" s="155"/>
      <c r="AK116" s="155"/>
    </row>
    <row r="117" spans="16:37" ht="12.75">
      <c r="P117" s="94">
        <v>116</v>
      </c>
      <c r="Q117" s="161" t="s">
        <v>316</v>
      </c>
      <c r="R117" s="133">
        <v>2</v>
      </c>
      <c r="S117" s="133">
        <v>6</v>
      </c>
      <c r="T117" s="133">
        <v>1</v>
      </c>
      <c r="U117" s="133">
        <v>10</v>
      </c>
      <c r="V117" s="134" t="s">
        <v>311</v>
      </c>
      <c r="W117" s="135">
        <v>120000</v>
      </c>
      <c r="X117" s="135" t="s">
        <v>73</v>
      </c>
      <c r="Y117" s="135" t="s">
        <v>24</v>
      </c>
      <c r="Z117" s="135">
        <v>1</v>
      </c>
      <c r="AA117" s="377"/>
      <c r="AE117" s="155"/>
      <c r="AG117" s="155"/>
      <c r="AK117" s="155"/>
    </row>
    <row r="118" spans="16:37" ht="12.75">
      <c r="P118" s="94">
        <v>117</v>
      </c>
      <c r="Q118" s="129" t="s">
        <v>218</v>
      </c>
      <c r="R118" s="99">
        <v>6</v>
      </c>
      <c r="S118" s="99">
        <v>3</v>
      </c>
      <c r="T118" s="99">
        <v>3</v>
      </c>
      <c r="U118" s="99">
        <v>8</v>
      </c>
      <c r="V118" s="100" t="s">
        <v>219</v>
      </c>
      <c r="W118" s="101">
        <v>60000</v>
      </c>
      <c r="Z118" s="101">
        <v>1</v>
      </c>
      <c r="AA118" s="162" t="s">
        <v>81</v>
      </c>
      <c r="AE118" s="155"/>
      <c r="AG118" s="155"/>
      <c r="AK118" s="155"/>
    </row>
    <row r="119" spans="16:37" ht="12.75">
      <c r="P119" s="94">
        <v>118</v>
      </c>
      <c r="Q119" s="129" t="s">
        <v>318</v>
      </c>
      <c r="R119" s="99">
        <v>6</v>
      </c>
      <c r="S119" s="99">
        <v>5</v>
      </c>
      <c r="T119" s="99">
        <v>2</v>
      </c>
      <c r="U119" s="99">
        <v>9</v>
      </c>
      <c r="V119" s="100" t="s">
        <v>320</v>
      </c>
      <c r="W119" s="101">
        <v>290000</v>
      </c>
      <c r="Z119" s="101">
        <v>1</v>
      </c>
      <c r="AA119" s="162" t="s">
        <v>319</v>
      </c>
      <c r="AE119" s="155"/>
      <c r="AG119" s="155"/>
      <c r="AK119" s="155"/>
    </row>
    <row r="120" spans="16:37" ht="12.75">
      <c r="P120" s="94">
        <v>119</v>
      </c>
      <c r="Q120" s="129" t="s">
        <v>902</v>
      </c>
      <c r="R120" s="99">
        <v>8</v>
      </c>
      <c r="S120" s="99">
        <v>3</v>
      </c>
      <c r="T120" s="99">
        <v>4</v>
      </c>
      <c r="U120" s="99">
        <v>7</v>
      </c>
      <c r="V120" s="100" t="s">
        <v>903</v>
      </c>
      <c r="W120" s="101">
        <v>160000</v>
      </c>
      <c r="Z120" s="101">
        <v>1</v>
      </c>
      <c r="AA120" s="162" t="s">
        <v>98</v>
      </c>
      <c r="AE120" s="155"/>
      <c r="AG120" s="155"/>
      <c r="AK120" s="155"/>
    </row>
    <row r="121" spans="16:37" ht="20.25">
      <c r="P121" s="94">
        <v>120</v>
      </c>
      <c r="Q121" s="129" t="s">
        <v>5</v>
      </c>
      <c r="R121" s="163">
        <v>5</v>
      </c>
      <c r="S121" s="163">
        <v>5</v>
      </c>
      <c r="T121" s="163">
        <v>2</v>
      </c>
      <c r="U121" s="163">
        <v>9</v>
      </c>
      <c r="V121" s="164" t="s">
        <v>220</v>
      </c>
      <c r="W121" s="165">
        <v>145000</v>
      </c>
      <c r="Z121" s="101">
        <v>1</v>
      </c>
      <c r="AA121" s="162" t="s">
        <v>588</v>
      </c>
      <c r="AE121" s="155"/>
      <c r="AG121" s="155"/>
      <c r="AK121" s="155"/>
    </row>
    <row r="122" spans="16:37" ht="20.25">
      <c r="P122" s="94">
        <v>121</v>
      </c>
      <c r="Q122" s="129" t="s">
        <v>6</v>
      </c>
      <c r="R122" s="163">
        <v>6</v>
      </c>
      <c r="S122" s="163">
        <v>2</v>
      </c>
      <c r="T122" s="163">
        <v>4</v>
      </c>
      <c r="U122" s="163">
        <v>7</v>
      </c>
      <c r="V122" s="164" t="s">
        <v>221</v>
      </c>
      <c r="W122" s="165">
        <v>145000</v>
      </c>
      <c r="Z122" s="101">
        <v>1</v>
      </c>
      <c r="AA122" s="162" t="s">
        <v>588</v>
      </c>
      <c r="AE122" s="155"/>
      <c r="AG122" s="155"/>
      <c r="AK122" s="155"/>
    </row>
    <row r="123" spans="16:37" ht="12.75">
      <c r="P123" s="94">
        <v>122</v>
      </c>
      <c r="Q123" s="136" t="s">
        <v>50</v>
      </c>
      <c r="R123" s="163">
        <v>6</v>
      </c>
      <c r="S123" s="163">
        <v>2</v>
      </c>
      <c r="T123" s="163">
        <v>3</v>
      </c>
      <c r="U123" s="163">
        <v>7</v>
      </c>
      <c r="V123" s="164" t="s">
        <v>321</v>
      </c>
      <c r="W123" s="165">
        <v>60000</v>
      </c>
      <c r="Z123" s="101">
        <v>1</v>
      </c>
      <c r="AA123" s="162" t="s">
        <v>323</v>
      </c>
      <c r="AE123" s="155"/>
      <c r="AG123" s="155"/>
      <c r="AK123" s="155"/>
    </row>
    <row r="124" spans="16:37" ht="12.75">
      <c r="P124" s="94">
        <v>123</v>
      </c>
      <c r="Q124" s="129" t="s">
        <v>22</v>
      </c>
      <c r="R124" s="163">
        <v>4</v>
      </c>
      <c r="S124" s="163">
        <v>3</v>
      </c>
      <c r="T124" s="163">
        <v>2</v>
      </c>
      <c r="U124" s="163">
        <v>9</v>
      </c>
      <c r="V124" s="164" t="s">
        <v>322</v>
      </c>
      <c r="W124" s="165">
        <v>60000</v>
      </c>
      <c r="Z124" s="101">
        <v>1</v>
      </c>
      <c r="AA124" s="162" t="s">
        <v>324</v>
      </c>
      <c r="AE124" s="155"/>
      <c r="AG124" s="155"/>
      <c r="AK124" s="155"/>
    </row>
    <row r="125" spans="16:37" ht="30">
      <c r="P125" s="94">
        <v>124</v>
      </c>
      <c r="Q125" s="129" t="s">
        <v>247</v>
      </c>
      <c r="R125" s="163">
        <v>6</v>
      </c>
      <c r="S125" s="163">
        <v>5</v>
      </c>
      <c r="T125" s="163">
        <v>4</v>
      </c>
      <c r="U125" s="163">
        <v>9</v>
      </c>
      <c r="V125" s="164" t="s">
        <v>325</v>
      </c>
      <c r="W125" s="165">
        <v>390000</v>
      </c>
      <c r="Z125" s="101">
        <v>1</v>
      </c>
      <c r="AA125" s="162" t="s">
        <v>582</v>
      </c>
      <c r="AE125" s="155"/>
      <c r="AG125" s="155"/>
      <c r="AK125" s="155"/>
    </row>
    <row r="126" spans="16:37" ht="20.25">
      <c r="P126" s="94">
        <v>125</v>
      </c>
      <c r="Q126" s="129" t="s">
        <v>326</v>
      </c>
      <c r="R126" s="163">
        <v>6</v>
      </c>
      <c r="S126" s="163">
        <v>3</v>
      </c>
      <c r="T126" s="163">
        <v>3</v>
      </c>
      <c r="U126" s="163">
        <v>8</v>
      </c>
      <c r="V126" s="164" t="s">
        <v>327</v>
      </c>
      <c r="W126" s="165">
        <v>120000</v>
      </c>
      <c r="Z126" s="101">
        <v>1</v>
      </c>
      <c r="AA126" s="162" t="s">
        <v>575</v>
      </c>
      <c r="AE126" s="155"/>
      <c r="AG126" s="155"/>
      <c r="AK126" s="155"/>
    </row>
    <row r="127" spans="16:37" ht="12.75">
      <c r="P127" s="94">
        <v>126</v>
      </c>
      <c r="Q127" s="129" t="s">
        <v>40</v>
      </c>
      <c r="R127" s="163">
        <v>2</v>
      </c>
      <c r="S127" s="163">
        <v>7</v>
      </c>
      <c r="T127" s="163">
        <v>1</v>
      </c>
      <c r="U127" s="163">
        <v>10</v>
      </c>
      <c r="V127" s="164" t="s">
        <v>222</v>
      </c>
      <c r="W127" s="165">
        <v>300000</v>
      </c>
      <c r="Z127" s="101">
        <v>1</v>
      </c>
      <c r="AA127" s="162" t="s">
        <v>29</v>
      </c>
      <c r="AE127" s="155"/>
      <c r="AG127" s="155"/>
      <c r="AK127" s="155"/>
    </row>
    <row r="128" spans="16:37" ht="20.25">
      <c r="P128" s="94">
        <v>127</v>
      </c>
      <c r="Q128" s="129" t="s">
        <v>328</v>
      </c>
      <c r="R128" s="163">
        <v>7</v>
      </c>
      <c r="S128" s="163">
        <v>3</v>
      </c>
      <c r="T128" s="163">
        <v>4</v>
      </c>
      <c r="U128" s="163">
        <v>7</v>
      </c>
      <c r="V128" s="164" t="s">
        <v>329</v>
      </c>
      <c r="W128" s="165">
        <v>150000</v>
      </c>
      <c r="Z128" s="101">
        <v>1</v>
      </c>
      <c r="AA128" s="162" t="s">
        <v>586</v>
      </c>
      <c r="AE128" s="155"/>
      <c r="AG128" s="155"/>
      <c r="AK128" s="155"/>
    </row>
    <row r="129" spans="16:37" ht="20.25">
      <c r="P129" s="94">
        <v>128</v>
      </c>
      <c r="Q129" s="129" t="s">
        <v>626</v>
      </c>
      <c r="R129" s="163">
        <v>8</v>
      </c>
      <c r="S129" s="163">
        <v>3</v>
      </c>
      <c r="T129" s="163">
        <v>4</v>
      </c>
      <c r="U129" s="163">
        <v>7</v>
      </c>
      <c r="V129" s="164" t="s">
        <v>330</v>
      </c>
      <c r="W129" s="165">
        <v>200000</v>
      </c>
      <c r="Z129" s="101">
        <v>1</v>
      </c>
      <c r="AA129" s="162" t="s">
        <v>587</v>
      </c>
      <c r="AE129" s="155"/>
      <c r="AG129" s="155"/>
      <c r="AK129" s="155"/>
    </row>
    <row r="130" spans="16:37" ht="20.25">
      <c r="P130" s="94">
        <v>129</v>
      </c>
      <c r="Q130" s="129" t="s">
        <v>331</v>
      </c>
      <c r="R130" s="163">
        <v>4</v>
      </c>
      <c r="S130" s="163">
        <v>7</v>
      </c>
      <c r="T130" s="163">
        <v>3</v>
      </c>
      <c r="U130" s="163">
        <v>7</v>
      </c>
      <c r="V130" s="164" t="s">
        <v>332</v>
      </c>
      <c r="W130" s="165">
        <v>100000</v>
      </c>
      <c r="Z130" s="101">
        <v>1</v>
      </c>
      <c r="AA130" s="162" t="s">
        <v>576</v>
      </c>
      <c r="AE130" s="155"/>
      <c r="AG130" s="155"/>
      <c r="AK130" s="155"/>
    </row>
    <row r="131" spans="16:37" ht="12.75">
      <c r="P131" s="94">
        <v>130</v>
      </c>
      <c r="Q131" s="129" t="s">
        <v>223</v>
      </c>
      <c r="R131" s="163">
        <v>5</v>
      </c>
      <c r="S131" s="163">
        <v>3</v>
      </c>
      <c r="T131" s="163">
        <v>2</v>
      </c>
      <c r="U131" s="163">
        <v>8</v>
      </c>
      <c r="V131" s="164" t="s">
        <v>333</v>
      </c>
      <c r="W131" s="165">
        <v>130000</v>
      </c>
      <c r="Z131" s="101">
        <v>1</v>
      </c>
      <c r="AA131" s="162" t="s">
        <v>81</v>
      </c>
      <c r="AE131" s="155"/>
      <c r="AG131" s="155"/>
      <c r="AK131" s="155"/>
    </row>
    <row r="132" spans="16:37" ht="12.75">
      <c r="P132" s="94">
        <v>131</v>
      </c>
      <c r="Q132" s="129" t="s">
        <v>224</v>
      </c>
      <c r="R132" s="163">
        <v>4</v>
      </c>
      <c r="S132" s="163">
        <v>7</v>
      </c>
      <c r="T132" s="163">
        <v>3</v>
      </c>
      <c r="U132" s="163">
        <v>7</v>
      </c>
      <c r="V132" s="164" t="s">
        <v>225</v>
      </c>
      <c r="W132" s="165">
        <v>80000</v>
      </c>
      <c r="Z132" s="101">
        <v>1</v>
      </c>
      <c r="AA132" s="162" t="s">
        <v>27</v>
      </c>
      <c r="AE132" s="155"/>
      <c r="AG132" s="155"/>
      <c r="AK132" s="155"/>
    </row>
    <row r="133" spans="16:37" ht="12.75">
      <c r="P133" s="94">
        <v>132</v>
      </c>
      <c r="Q133" s="129" t="s">
        <v>904</v>
      </c>
      <c r="R133" s="163">
        <v>5</v>
      </c>
      <c r="S133" s="163">
        <v>4</v>
      </c>
      <c r="T133" s="163">
        <v>2</v>
      </c>
      <c r="U133" s="163">
        <v>8</v>
      </c>
      <c r="V133" s="164" t="s">
        <v>905</v>
      </c>
      <c r="W133" s="165">
        <v>190000</v>
      </c>
      <c r="Z133" s="101">
        <v>1</v>
      </c>
      <c r="AA133" s="162" t="s">
        <v>372</v>
      </c>
      <c r="AE133" s="155"/>
      <c r="AG133" s="155"/>
      <c r="AK133" s="155"/>
    </row>
    <row r="134" spans="16:37" ht="12.75">
      <c r="P134" s="94">
        <v>133</v>
      </c>
      <c r="Q134" s="129" t="s">
        <v>334</v>
      </c>
      <c r="R134" s="163">
        <v>7</v>
      </c>
      <c r="S134" s="163">
        <v>4</v>
      </c>
      <c r="T134" s="163">
        <v>3</v>
      </c>
      <c r="U134" s="163">
        <v>8</v>
      </c>
      <c r="V134" s="164" t="s">
        <v>335</v>
      </c>
      <c r="W134" s="165">
        <v>210000</v>
      </c>
      <c r="Z134" s="101">
        <v>1</v>
      </c>
      <c r="AA134" s="162" t="s">
        <v>372</v>
      </c>
      <c r="AE134" s="155"/>
      <c r="AG134" s="155"/>
      <c r="AK134" s="155"/>
    </row>
    <row r="135" spans="16:37" ht="20.25">
      <c r="P135" s="94">
        <v>134</v>
      </c>
      <c r="Q135" s="129" t="s">
        <v>226</v>
      </c>
      <c r="R135" s="163">
        <v>6</v>
      </c>
      <c r="S135" s="163">
        <v>6</v>
      </c>
      <c r="T135" s="163">
        <v>2</v>
      </c>
      <c r="U135" s="163">
        <v>8</v>
      </c>
      <c r="V135" s="164" t="s">
        <v>227</v>
      </c>
      <c r="W135" s="165">
        <v>310000</v>
      </c>
      <c r="Z135" s="101">
        <v>1</v>
      </c>
      <c r="AA135" s="162" t="s">
        <v>589</v>
      </c>
      <c r="AE135" s="155"/>
      <c r="AG135" s="155"/>
      <c r="AK135" s="155"/>
    </row>
    <row r="136" spans="16:37" ht="12.75">
      <c r="P136" s="94">
        <v>135</v>
      </c>
      <c r="Q136" s="136" t="s">
        <v>627</v>
      </c>
      <c r="R136" s="163">
        <v>7</v>
      </c>
      <c r="S136" s="163">
        <v>4</v>
      </c>
      <c r="T136" s="163">
        <v>4</v>
      </c>
      <c r="U136" s="163">
        <v>8</v>
      </c>
      <c r="V136" s="164" t="s">
        <v>228</v>
      </c>
      <c r="W136" s="165">
        <v>320000</v>
      </c>
      <c r="Z136" s="101">
        <v>1</v>
      </c>
      <c r="AA136" s="162" t="s">
        <v>101</v>
      </c>
      <c r="AE136" s="155"/>
      <c r="AG136" s="155"/>
      <c r="AK136" s="155"/>
    </row>
    <row r="137" spans="16:37" ht="12.75">
      <c r="P137" s="94">
        <v>136</v>
      </c>
      <c r="Q137" s="129" t="s">
        <v>628</v>
      </c>
      <c r="R137" s="163">
        <v>5</v>
      </c>
      <c r="S137" s="163">
        <v>4</v>
      </c>
      <c r="T137" s="163">
        <v>3</v>
      </c>
      <c r="U137" s="163">
        <v>8</v>
      </c>
      <c r="V137" s="164" t="s">
        <v>336</v>
      </c>
      <c r="W137" s="165">
        <v>220000</v>
      </c>
      <c r="Z137" s="101">
        <v>1</v>
      </c>
      <c r="AA137" s="162" t="s">
        <v>81</v>
      </c>
      <c r="AE137" s="155"/>
      <c r="AG137" s="155"/>
      <c r="AK137" s="155"/>
    </row>
    <row r="138" spans="16:37" ht="12.75">
      <c r="P138" s="94">
        <v>137</v>
      </c>
      <c r="Q138" s="98" t="s">
        <v>629</v>
      </c>
      <c r="R138" s="99">
        <v>5</v>
      </c>
      <c r="S138" s="99">
        <v>3</v>
      </c>
      <c r="T138" s="99">
        <v>4</v>
      </c>
      <c r="U138" s="99">
        <v>9</v>
      </c>
      <c r="V138" s="100" t="s">
        <v>616</v>
      </c>
      <c r="W138" s="101">
        <v>210000</v>
      </c>
      <c r="Z138" s="101">
        <v>1</v>
      </c>
      <c r="AA138" s="162" t="s">
        <v>39</v>
      </c>
      <c r="AE138" s="155"/>
      <c r="AG138" s="155"/>
      <c r="AK138" s="155"/>
    </row>
    <row r="139" spans="16:37" ht="30">
      <c r="P139" s="94">
        <v>138</v>
      </c>
      <c r="Q139" s="129" t="s">
        <v>12</v>
      </c>
      <c r="R139" s="130">
        <v>6</v>
      </c>
      <c r="S139" s="130">
        <v>3</v>
      </c>
      <c r="T139" s="130">
        <v>2</v>
      </c>
      <c r="U139" s="130">
        <v>7</v>
      </c>
      <c r="V139" s="119" t="s">
        <v>337</v>
      </c>
      <c r="W139" s="121">
        <v>120000</v>
      </c>
      <c r="Z139" s="101">
        <v>1</v>
      </c>
      <c r="AA139" s="162" t="s">
        <v>583</v>
      </c>
      <c r="AE139" s="155"/>
      <c r="AG139" s="155"/>
      <c r="AK139" s="155"/>
    </row>
    <row r="140" spans="16:37" ht="12.75">
      <c r="P140" s="94">
        <v>139</v>
      </c>
      <c r="Q140" s="129" t="s">
        <v>630</v>
      </c>
      <c r="R140" s="163">
        <v>9</v>
      </c>
      <c r="S140" s="163">
        <v>3</v>
      </c>
      <c r="T140" s="163">
        <v>4</v>
      </c>
      <c r="U140" s="163">
        <v>7</v>
      </c>
      <c r="V140" s="119" t="s">
        <v>229</v>
      </c>
      <c r="W140" s="165">
        <v>200000</v>
      </c>
      <c r="Z140" s="101">
        <v>1</v>
      </c>
      <c r="AA140" s="162" t="s">
        <v>31</v>
      </c>
      <c r="AE140" s="155"/>
      <c r="AG140" s="155"/>
      <c r="AK140" s="155"/>
    </row>
    <row r="141" spans="16:37" ht="12.75">
      <c r="P141" s="94">
        <v>140</v>
      </c>
      <c r="Q141" s="129" t="s">
        <v>230</v>
      </c>
      <c r="R141" s="163">
        <v>6</v>
      </c>
      <c r="S141" s="163">
        <v>6</v>
      </c>
      <c r="T141" s="163">
        <v>3</v>
      </c>
      <c r="U141" s="163">
        <v>8</v>
      </c>
      <c r="V141" s="164" t="s">
        <v>231</v>
      </c>
      <c r="W141" s="165">
        <v>340000</v>
      </c>
      <c r="Z141" s="101">
        <v>1</v>
      </c>
      <c r="AA141" s="162" t="s">
        <v>31</v>
      </c>
      <c r="AE141" s="155"/>
      <c r="AG141" s="155"/>
      <c r="AK141" s="155"/>
    </row>
    <row r="142" spans="16:37" ht="30">
      <c r="P142" s="94">
        <v>141</v>
      </c>
      <c r="Q142" s="129" t="s">
        <v>34</v>
      </c>
      <c r="R142" s="163">
        <v>6</v>
      </c>
      <c r="S142" s="163">
        <v>3</v>
      </c>
      <c r="T142" s="163">
        <v>3</v>
      </c>
      <c r="U142" s="163">
        <v>8</v>
      </c>
      <c r="V142" s="119" t="s">
        <v>339</v>
      </c>
      <c r="W142" s="165">
        <v>110000</v>
      </c>
      <c r="Z142" s="101">
        <v>1</v>
      </c>
      <c r="AA142" s="162" t="s">
        <v>338</v>
      </c>
      <c r="AE142" s="155"/>
      <c r="AG142" s="155"/>
      <c r="AK142" s="155"/>
    </row>
    <row r="143" spans="16:37" ht="12.75">
      <c r="P143" s="94">
        <v>142</v>
      </c>
      <c r="Q143" s="136" t="s">
        <v>0</v>
      </c>
      <c r="R143" s="163">
        <v>8</v>
      </c>
      <c r="S143" s="163">
        <v>2</v>
      </c>
      <c r="T143" s="163">
        <v>3</v>
      </c>
      <c r="U143" s="163">
        <v>7</v>
      </c>
      <c r="V143" s="164" t="s">
        <v>232</v>
      </c>
      <c r="W143" s="165">
        <v>170000</v>
      </c>
      <c r="Z143" s="101">
        <v>1</v>
      </c>
      <c r="AA143" s="162" t="s">
        <v>111</v>
      </c>
      <c r="AE143" s="155"/>
      <c r="AG143" s="155"/>
      <c r="AK143" s="155"/>
    </row>
    <row r="144" spans="16:37" ht="12.75">
      <c r="P144" s="94">
        <v>143</v>
      </c>
      <c r="Q144" s="136" t="s">
        <v>233</v>
      </c>
      <c r="R144" s="163">
        <v>7</v>
      </c>
      <c r="S144" s="163">
        <v>3</v>
      </c>
      <c r="T144" s="163">
        <v>4</v>
      </c>
      <c r="U144" s="163">
        <v>7</v>
      </c>
      <c r="V144" s="164" t="s">
        <v>234</v>
      </c>
      <c r="W144" s="165">
        <v>210000</v>
      </c>
      <c r="Z144" s="101">
        <v>1</v>
      </c>
      <c r="AA144" s="162" t="s">
        <v>74</v>
      </c>
      <c r="AE144" s="155"/>
      <c r="AG144" s="155"/>
      <c r="AK144" s="155"/>
    </row>
    <row r="145" spans="16:37" ht="12.75">
      <c r="P145" s="94">
        <v>144</v>
      </c>
      <c r="Q145" s="129" t="s">
        <v>235</v>
      </c>
      <c r="R145" s="163">
        <v>6</v>
      </c>
      <c r="S145" s="163">
        <v>5</v>
      </c>
      <c r="T145" s="163">
        <v>2</v>
      </c>
      <c r="U145" s="163">
        <v>9</v>
      </c>
      <c r="V145" s="164" t="s">
        <v>236</v>
      </c>
      <c r="W145" s="165">
        <v>330000</v>
      </c>
      <c r="Z145" s="101">
        <v>1</v>
      </c>
      <c r="AA145" s="162" t="s">
        <v>69</v>
      </c>
      <c r="AE145" s="155"/>
      <c r="AG145" s="155"/>
      <c r="AK145" s="155"/>
    </row>
    <row r="146" spans="16:37" ht="12.75">
      <c r="P146" s="94">
        <v>145</v>
      </c>
      <c r="Q146" s="136" t="s">
        <v>340</v>
      </c>
      <c r="R146" s="163">
        <v>7</v>
      </c>
      <c r="S146" s="163">
        <v>4</v>
      </c>
      <c r="T146" s="163">
        <v>4</v>
      </c>
      <c r="U146" s="163">
        <v>8</v>
      </c>
      <c r="V146" s="164" t="s">
        <v>248</v>
      </c>
      <c r="W146" s="165">
        <v>260000</v>
      </c>
      <c r="Z146" s="101">
        <v>1</v>
      </c>
      <c r="AA146" s="162" t="s">
        <v>593</v>
      </c>
      <c r="AE146" s="155"/>
      <c r="AG146" s="155"/>
      <c r="AK146" s="155"/>
    </row>
    <row r="147" spans="16:37" ht="12.75">
      <c r="P147" s="94">
        <v>146</v>
      </c>
      <c r="Q147" s="136" t="s">
        <v>341</v>
      </c>
      <c r="R147" s="163">
        <v>7</v>
      </c>
      <c r="S147" s="163">
        <v>2</v>
      </c>
      <c r="T147" s="163">
        <v>3</v>
      </c>
      <c r="U147" s="163">
        <v>7</v>
      </c>
      <c r="V147" s="164" t="s">
        <v>342</v>
      </c>
      <c r="W147" s="165">
        <v>130000</v>
      </c>
      <c r="Z147" s="101">
        <v>1</v>
      </c>
      <c r="AA147" s="162" t="s">
        <v>509</v>
      </c>
      <c r="AE147" s="155"/>
      <c r="AG147" s="155"/>
      <c r="AK147" s="155"/>
    </row>
    <row r="148" spans="16:37" ht="12.75">
      <c r="P148" s="94">
        <v>147</v>
      </c>
      <c r="Q148" s="137" t="s">
        <v>246</v>
      </c>
      <c r="R148" s="163">
        <v>5</v>
      </c>
      <c r="S148" s="163">
        <v>6</v>
      </c>
      <c r="T148" s="163">
        <v>1</v>
      </c>
      <c r="U148" s="163">
        <v>8</v>
      </c>
      <c r="V148" s="164" t="s">
        <v>343</v>
      </c>
      <c r="W148" s="165">
        <v>330000</v>
      </c>
      <c r="Z148" s="101">
        <v>1</v>
      </c>
      <c r="AA148" s="162" t="s">
        <v>30</v>
      </c>
      <c r="AE148" s="155"/>
      <c r="AG148" s="155"/>
      <c r="AK148" s="155"/>
    </row>
    <row r="149" spans="16:37" ht="20.25">
      <c r="P149" s="94">
        <v>148</v>
      </c>
      <c r="Q149" s="137" t="s">
        <v>344</v>
      </c>
      <c r="R149" s="163">
        <v>7</v>
      </c>
      <c r="S149" s="163">
        <v>3</v>
      </c>
      <c r="T149" s="163">
        <v>3</v>
      </c>
      <c r="U149" s="163">
        <v>7</v>
      </c>
      <c r="V149" s="164" t="s">
        <v>345</v>
      </c>
      <c r="W149" s="165">
        <v>220000</v>
      </c>
      <c r="Z149" s="101">
        <v>1</v>
      </c>
      <c r="AA149" s="162" t="s">
        <v>579</v>
      </c>
      <c r="AE149" s="155"/>
      <c r="AG149" s="155"/>
      <c r="AK149" s="155"/>
    </row>
    <row r="150" spans="16:37" ht="30">
      <c r="P150" s="94">
        <v>149</v>
      </c>
      <c r="Q150" s="137" t="s">
        <v>346</v>
      </c>
      <c r="R150" s="163">
        <v>8</v>
      </c>
      <c r="S150" s="163">
        <v>3</v>
      </c>
      <c r="T150" s="163">
        <v>3</v>
      </c>
      <c r="U150" s="163">
        <v>7</v>
      </c>
      <c r="V150" s="164" t="s">
        <v>347</v>
      </c>
      <c r="W150" s="165">
        <v>180000</v>
      </c>
      <c r="Z150" s="101">
        <v>1</v>
      </c>
      <c r="AA150" s="162" t="s">
        <v>582</v>
      </c>
      <c r="AE150" s="155"/>
      <c r="AG150" s="155"/>
      <c r="AK150" s="155"/>
    </row>
    <row r="151" spans="16:37" ht="12.75">
      <c r="P151" s="94">
        <v>150</v>
      </c>
      <c r="Q151" s="129" t="s">
        <v>631</v>
      </c>
      <c r="R151" s="163">
        <v>8</v>
      </c>
      <c r="S151" s="163">
        <v>3</v>
      </c>
      <c r="T151" s="163">
        <v>5</v>
      </c>
      <c r="U151" s="163">
        <v>7</v>
      </c>
      <c r="V151" s="164" t="s">
        <v>249</v>
      </c>
      <c r="W151" s="165">
        <v>260000</v>
      </c>
      <c r="Z151" s="101">
        <v>1</v>
      </c>
      <c r="AA151" s="162" t="s">
        <v>594</v>
      </c>
      <c r="AE151" s="155"/>
      <c r="AG151" s="155"/>
      <c r="AK151" s="155"/>
    </row>
    <row r="152" spans="16:37" ht="20.25">
      <c r="P152" s="94">
        <v>151</v>
      </c>
      <c r="Q152" s="129" t="s">
        <v>907</v>
      </c>
      <c r="R152" s="163">
        <v>6</v>
      </c>
      <c r="S152" s="163">
        <v>4</v>
      </c>
      <c r="T152" s="163">
        <v>3</v>
      </c>
      <c r="U152" s="163">
        <v>8</v>
      </c>
      <c r="V152" s="164" t="s">
        <v>909</v>
      </c>
      <c r="W152" s="165">
        <v>220000</v>
      </c>
      <c r="Z152" s="101">
        <v>1</v>
      </c>
      <c r="AA152" s="162" t="s">
        <v>906</v>
      </c>
      <c r="AE152" s="155"/>
      <c r="AG152" s="155"/>
      <c r="AK152" s="155"/>
    </row>
    <row r="153" spans="16:37" ht="12.75">
      <c r="P153" s="94">
        <v>152</v>
      </c>
      <c r="Q153" s="129" t="s">
        <v>908</v>
      </c>
      <c r="R153" s="163">
        <v>5</v>
      </c>
      <c r="S153" s="163">
        <v>7</v>
      </c>
      <c r="T153" s="163">
        <v>2</v>
      </c>
      <c r="U153" s="163">
        <v>9</v>
      </c>
      <c r="V153" s="164" t="s">
        <v>910</v>
      </c>
      <c r="W153" s="165">
        <v>130000</v>
      </c>
      <c r="Z153" s="101">
        <v>1</v>
      </c>
      <c r="AA153" s="162" t="s">
        <v>372</v>
      </c>
      <c r="AE153" s="155"/>
      <c r="AG153" s="155"/>
      <c r="AK153" s="155"/>
    </row>
    <row r="154" spans="16:37" ht="12.75">
      <c r="P154" s="94">
        <v>153</v>
      </c>
      <c r="Q154" s="129" t="s">
        <v>348</v>
      </c>
      <c r="R154" s="163">
        <v>6</v>
      </c>
      <c r="S154" s="163">
        <v>3</v>
      </c>
      <c r="T154" s="163">
        <v>3</v>
      </c>
      <c r="U154" s="163">
        <v>9</v>
      </c>
      <c r="V154" s="164" t="s">
        <v>349</v>
      </c>
      <c r="W154" s="165">
        <v>150000</v>
      </c>
      <c r="Z154" s="101">
        <v>1</v>
      </c>
      <c r="AA154" s="162" t="s">
        <v>590</v>
      </c>
      <c r="AE154" s="155"/>
      <c r="AG154" s="155"/>
      <c r="AK154" s="155"/>
    </row>
    <row r="155" spans="16:37" ht="12.75">
      <c r="P155" s="94">
        <v>154</v>
      </c>
      <c r="Q155" s="129" t="s">
        <v>237</v>
      </c>
      <c r="R155" s="163">
        <v>5</v>
      </c>
      <c r="S155" s="163">
        <v>5</v>
      </c>
      <c r="T155" s="163">
        <v>3</v>
      </c>
      <c r="U155" s="163">
        <v>9</v>
      </c>
      <c r="V155" s="164" t="s">
        <v>250</v>
      </c>
      <c r="W155" s="165">
        <v>300000</v>
      </c>
      <c r="Z155" s="101">
        <v>1</v>
      </c>
      <c r="AA155" s="162" t="s">
        <v>590</v>
      </c>
      <c r="AE155" s="155"/>
      <c r="AG155" s="155"/>
      <c r="AK155" s="155"/>
    </row>
    <row r="156" spans="16:37" ht="12.75">
      <c r="P156" s="94">
        <v>155</v>
      </c>
      <c r="Q156" s="129" t="s">
        <v>350</v>
      </c>
      <c r="R156" s="163">
        <v>8</v>
      </c>
      <c r="S156" s="163">
        <v>3</v>
      </c>
      <c r="T156" s="163">
        <v>3</v>
      </c>
      <c r="U156" s="163">
        <v>8</v>
      </c>
      <c r="V156" s="164" t="s">
        <v>351</v>
      </c>
      <c r="W156" s="165">
        <v>220000</v>
      </c>
      <c r="Z156" s="101">
        <v>1</v>
      </c>
      <c r="AA156" s="162" t="s">
        <v>373</v>
      </c>
      <c r="AE156" s="155"/>
      <c r="AG156" s="155"/>
      <c r="AK156" s="155"/>
    </row>
    <row r="157" spans="16:37" ht="12.75">
      <c r="P157" s="94">
        <v>156</v>
      </c>
      <c r="Q157" s="129" t="s">
        <v>911</v>
      </c>
      <c r="R157" s="163">
        <v>6</v>
      </c>
      <c r="S157" s="163">
        <v>4</v>
      </c>
      <c r="T157" s="163">
        <v>3</v>
      </c>
      <c r="U157" s="163">
        <v>8</v>
      </c>
      <c r="V157" s="164" t="s">
        <v>912</v>
      </c>
      <c r="W157" s="165">
        <v>170000</v>
      </c>
      <c r="Z157" s="101">
        <v>1</v>
      </c>
      <c r="AA157" s="162" t="s">
        <v>913</v>
      </c>
      <c r="AE157" s="155"/>
      <c r="AG157" s="155"/>
      <c r="AK157" s="155"/>
    </row>
    <row r="158" spans="16:37" ht="12.75">
      <c r="P158" s="94">
        <v>157</v>
      </c>
      <c r="Q158" s="136" t="s">
        <v>238</v>
      </c>
      <c r="R158" s="163">
        <v>5</v>
      </c>
      <c r="S158" s="163">
        <v>4</v>
      </c>
      <c r="T158" s="163">
        <v>3</v>
      </c>
      <c r="U158" s="163">
        <v>8</v>
      </c>
      <c r="V158" s="164" t="s">
        <v>352</v>
      </c>
      <c r="W158" s="165">
        <v>130000</v>
      </c>
      <c r="Z158" s="101">
        <v>1</v>
      </c>
      <c r="AA158" s="162" t="s">
        <v>590</v>
      </c>
      <c r="AE158" s="155"/>
      <c r="AG158" s="155"/>
      <c r="AK158" s="155"/>
    </row>
    <row r="159" spans="16:37" ht="12.75">
      <c r="P159" s="94">
        <v>158</v>
      </c>
      <c r="Q159" s="136" t="s">
        <v>632</v>
      </c>
      <c r="R159" s="163">
        <v>4</v>
      </c>
      <c r="S159" s="163">
        <v>5</v>
      </c>
      <c r="T159" s="163">
        <v>2</v>
      </c>
      <c r="U159" s="163">
        <v>9</v>
      </c>
      <c r="V159" s="164" t="s">
        <v>251</v>
      </c>
      <c r="W159" s="165">
        <v>260000</v>
      </c>
      <c r="Z159" s="101">
        <v>1</v>
      </c>
      <c r="AA159" s="162" t="s">
        <v>101</v>
      </c>
      <c r="AE159" s="155"/>
      <c r="AG159" s="155"/>
      <c r="AK159" s="155"/>
    </row>
    <row r="160" spans="16:37" ht="40.5">
      <c r="P160" s="94">
        <v>159</v>
      </c>
      <c r="Q160" s="129" t="s">
        <v>633</v>
      </c>
      <c r="R160" s="163">
        <v>6</v>
      </c>
      <c r="S160" s="163">
        <v>6</v>
      </c>
      <c r="T160" s="163">
        <v>3</v>
      </c>
      <c r="U160" s="163">
        <v>10</v>
      </c>
      <c r="V160" s="164" t="s">
        <v>252</v>
      </c>
      <c r="W160" s="165">
        <v>430000</v>
      </c>
      <c r="Z160" s="101">
        <v>1</v>
      </c>
      <c r="AA160" s="162" t="s">
        <v>584</v>
      </c>
      <c r="AE160" s="155"/>
      <c r="AG160" s="155"/>
      <c r="AK160" s="155"/>
    </row>
    <row r="161" spans="16:37" ht="20.25">
      <c r="P161" s="94">
        <v>160</v>
      </c>
      <c r="Q161" s="129" t="s">
        <v>239</v>
      </c>
      <c r="R161" s="130">
        <v>6</v>
      </c>
      <c r="S161" s="130">
        <v>2</v>
      </c>
      <c r="T161" s="130">
        <v>3</v>
      </c>
      <c r="U161" s="130">
        <v>7</v>
      </c>
      <c r="V161" s="119" t="s">
        <v>354</v>
      </c>
      <c r="W161" s="121">
        <v>130000</v>
      </c>
      <c r="Z161" s="101">
        <v>1</v>
      </c>
      <c r="AA161" s="162" t="s">
        <v>353</v>
      </c>
      <c r="AE161" s="155"/>
      <c r="AG161" s="155"/>
      <c r="AK161" s="155"/>
    </row>
    <row r="162" spans="16:37" ht="12.75">
      <c r="P162" s="94">
        <v>161</v>
      </c>
      <c r="Q162" s="137" t="s">
        <v>634</v>
      </c>
      <c r="R162" s="130">
        <v>7</v>
      </c>
      <c r="S162" s="130">
        <v>4</v>
      </c>
      <c r="T162" s="130">
        <v>4</v>
      </c>
      <c r="U162" s="130">
        <v>8</v>
      </c>
      <c r="V162" s="119" t="s">
        <v>253</v>
      </c>
      <c r="W162" s="121">
        <v>230000</v>
      </c>
      <c r="Z162" s="101">
        <v>1</v>
      </c>
      <c r="AA162" s="162" t="s">
        <v>595</v>
      </c>
      <c r="AE162" s="155"/>
      <c r="AG162" s="155"/>
      <c r="AK162" s="155"/>
    </row>
    <row r="163" spans="16:37" ht="12.75">
      <c r="P163" s="94">
        <v>162</v>
      </c>
      <c r="Q163" s="129" t="s">
        <v>240</v>
      </c>
      <c r="R163" s="163">
        <v>5</v>
      </c>
      <c r="S163" s="163">
        <v>3</v>
      </c>
      <c r="T163" s="163">
        <v>3</v>
      </c>
      <c r="U163" s="163">
        <v>6</v>
      </c>
      <c r="V163" s="164" t="s">
        <v>254</v>
      </c>
      <c r="W163" s="165">
        <v>140000</v>
      </c>
      <c r="Z163" s="101">
        <v>1</v>
      </c>
      <c r="AA163" s="162" t="s">
        <v>355</v>
      </c>
      <c r="AE163" s="155"/>
      <c r="AG163" s="155"/>
      <c r="AK163" s="155"/>
    </row>
    <row r="164" spans="16:37" ht="12.75">
      <c r="P164" s="94">
        <v>163</v>
      </c>
      <c r="Q164" s="129" t="s">
        <v>356</v>
      </c>
      <c r="R164" s="163">
        <v>8</v>
      </c>
      <c r="S164" s="163">
        <v>2</v>
      </c>
      <c r="T164" s="163">
        <v>4</v>
      </c>
      <c r="U164" s="163">
        <v>7</v>
      </c>
      <c r="V164" s="164" t="s">
        <v>357</v>
      </c>
      <c r="W164" s="165">
        <v>250000</v>
      </c>
      <c r="Z164" s="101">
        <v>1</v>
      </c>
      <c r="AA164" s="162" t="s">
        <v>373</v>
      </c>
      <c r="AE164" s="155"/>
      <c r="AG164" s="155"/>
      <c r="AK164" s="155"/>
    </row>
    <row r="165" spans="16:37" ht="30">
      <c r="P165" s="97">
        <v>164</v>
      </c>
      <c r="Q165" s="129" t="s">
        <v>3</v>
      </c>
      <c r="R165" s="163">
        <v>5</v>
      </c>
      <c r="S165" s="163">
        <v>6</v>
      </c>
      <c r="T165" s="163">
        <v>1</v>
      </c>
      <c r="U165" s="163">
        <v>9</v>
      </c>
      <c r="V165" s="164" t="s">
        <v>255</v>
      </c>
      <c r="W165" s="165">
        <v>380000</v>
      </c>
      <c r="Z165" s="101">
        <v>1</v>
      </c>
      <c r="AA165" s="162" t="s">
        <v>583</v>
      </c>
      <c r="AE165" s="155"/>
      <c r="AG165" s="155"/>
      <c r="AK165" s="155"/>
    </row>
    <row r="166" spans="16:37" ht="12.75">
      <c r="P166" s="97">
        <v>165</v>
      </c>
      <c r="Q166" s="129" t="s">
        <v>241</v>
      </c>
      <c r="R166" s="163">
        <v>7</v>
      </c>
      <c r="S166" s="163">
        <v>3</v>
      </c>
      <c r="T166" s="163">
        <v>3</v>
      </c>
      <c r="U166" s="163">
        <v>7</v>
      </c>
      <c r="V166" s="164" t="s">
        <v>256</v>
      </c>
      <c r="W166" s="165">
        <v>200000</v>
      </c>
      <c r="Z166" s="101">
        <v>1</v>
      </c>
      <c r="AA166" s="162" t="s">
        <v>69</v>
      </c>
      <c r="AE166" s="155"/>
      <c r="AG166" s="155"/>
      <c r="AK166" s="155"/>
    </row>
    <row r="167" spans="16:37" ht="12.75">
      <c r="P167" s="97">
        <v>166</v>
      </c>
      <c r="Q167" s="129" t="s">
        <v>918</v>
      </c>
      <c r="R167" s="163">
        <v>4</v>
      </c>
      <c r="S167" s="163">
        <v>6</v>
      </c>
      <c r="T167" s="163">
        <v>1</v>
      </c>
      <c r="U167" s="163">
        <v>9</v>
      </c>
      <c r="V167" s="164" t="s">
        <v>257</v>
      </c>
      <c r="W167" s="165">
        <v>270000</v>
      </c>
      <c r="Z167" s="101">
        <v>1</v>
      </c>
      <c r="AA167" s="162" t="s">
        <v>358</v>
      </c>
      <c r="AE167" s="155"/>
      <c r="AG167" s="155"/>
      <c r="AK167" s="155"/>
    </row>
    <row r="168" spans="16:37" ht="12.75">
      <c r="P168" s="97">
        <v>167</v>
      </c>
      <c r="Q168" s="129" t="s">
        <v>635</v>
      </c>
      <c r="R168" s="163">
        <v>8</v>
      </c>
      <c r="S168" s="163">
        <v>3</v>
      </c>
      <c r="T168" s="163">
        <v>5</v>
      </c>
      <c r="U168" s="163">
        <v>7</v>
      </c>
      <c r="V168" s="164" t="s">
        <v>625</v>
      </c>
      <c r="W168" s="165">
        <v>250000</v>
      </c>
      <c r="Z168" s="101">
        <v>1</v>
      </c>
      <c r="AA168" s="162" t="s">
        <v>359</v>
      </c>
      <c r="AE168" s="155"/>
      <c r="AG168" s="155"/>
      <c r="AK168" s="155"/>
    </row>
    <row r="169" spans="16:37" ht="12.75">
      <c r="P169" s="97">
        <v>168</v>
      </c>
      <c r="Q169" s="129" t="s">
        <v>242</v>
      </c>
      <c r="R169" s="163">
        <v>7</v>
      </c>
      <c r="S169" s="163">
        <v>2</v>
      </c>
      <c r="T169" s="163">
        <v>3</v>
      </c>
      <c r="U169" s="163">
        <v>7</v>
      </c>
      <c r="V169" s="164" t="s">
        <v>360</v>
      </c>
      <c r="W169" s="165">
        <v>150000</v>
      </c>
      <c r="Z169" s="101">
        <v>1</v>
      </c>
      <c r="AA169" s="162" t="s">
        <v>323</v>
      </c>
      <c r="AE169" s="155"/>
      <c r="AG169" s="155"/>
      <c r="AK169" s="155"/>
    </row>
    <row r="170" spans="16:37" ht="30">
      <c r="P170" s="97">
        <v>169</v>
      </c>
      <c r="Q170" s="129" t="s">
        <v>2</v>
      </c>
      <c r="R170" s="163">
        <v>6</v>
      </c>
      <c r="S170" s="163">
        <v>4</v>
      </c>
      <c r="T170" s="163">
        <v>2</v>
      </c>
      <c r="U170" s="163">
        <v>8</v>
      </c>
      <c r="V170" s="164" t="s">
        <v>258</v>
      </c>
      <c r="W170" s="165">
        <v>220000</v>
      </c>
      <c r="Z170" s="101">
        <v>1</v>
      </c>
      <c r="AA170" s="162" t="s">
        <v>583</v>
      </c>
      <c r="AE170" s="155"/>
      <c r="AG170" s="155"/>
      <c r="AK170" s="155"/>
    </row>
    <row r="171" spans="16:37" ht="12.75">
      <c r="P171" s="97">
        <v>170</v>
      </c>
      <c r="Q171" s="129" t="s">
        <v>23</v>
      </c>
      <c r="R171" s="163">
        <v>7</v>
      </c>
      <c r="S171" s="163">
        <v>4</v>
      </c>
      <c r="T171" s="163">
        <v>1</v>
      </c>
      <c r="U171" s="163">
        <v>9</v>
      </c>
      <c r="V171" s="164" t="s">
        <v>259</v>
      </c>
      <c r="W171" s="165">
        <v>250000</v>
      </c>
      <c r="Z171" s="101">
        <v>1</v>
      </c>
      <c r="AA171" s="162" t="s">
        <v>111</v>
      </c>
      <c r="AE171" s="155"/>
      <c r="AG171" s="155"/>
      <c r="AK171" s="155"/>
    </row>
    <row r="172" spans="16:37" ht="20.25">
      <c r="P172" s="97">
        <v>171</v>
      </c>
      <c r="Q172" s="129" t="s">
        <v>361</v>
      </c>
      <c r="R172" s="163">
        <v>6</v>
      </c>
      <c r="S172" s="163">
        <v>3</v>
      </c>
      <c r="T172" s="163">
        <v>2</v>
      </c>
      <c r="U172" s="163">
        <v>7</v>
      </c>
      <c r="V172" s="164" t="s">
        <v>362</v>
      </c>
      <c r="W172" s="165">
        <v>80000</v>
      </c>
      <c r="Z172" s="101">
        <v>1</v>
      </c>
      <c r="AA172" s="162" t="s">
        <v>580</v>
      </c>
      <c r="AE172" s="155"/>
      <c r="AG172" s="155"/>
      <c r="AK172" s="155"/>
    </row>
    <row r="173" spans="16:37" ht="18" customHeight="1">
      <c r="P173" s="97">
        <v>172</v>
      </c>
      <c r="Q173" s="129" t="s">
        <v>243</v>
      </c>
      <c r="R173" s="163">
        <v>9</v>
      </c>
      <c r="S173" s="163">
        <v>2</v>
      </c>
      <c r="T173" s="163">
        <v>4</v>
      </c>
      <c r="U173" s="163">
        <v>7</v>
      </c>
      <c r="V173" s="164" t="s">
        <v>260</v>
      </c>
      <c r="W173" s="165">
        <v>160000</v>
      </c>
      <c r="Z173" s="101">
        <v>1</v>
      </c>
      <c r="AA173" s="162" t="s">
        <v>31</v>
      </c>
      <c r="AE173" s="155"/>
      <c r="AG173" s="155"/>
      <c r="AK173" s="155"/>
    </row>
    <row r="174" spans="16:37" ht="18" customHeight="1">
      <c r="P174" s="97">
        <v>173</v>
      </c>
      <c r="Q174" s="129" t="s">
        <v>363</v>
      </c>
      <c r="R174" s="163">
        <v>6</v>
      </c>
      <c r="S174" s="163">
        <v>3</v>
      </c>
      <c r="T174" s="163">
        <v>4</v>
      </c>
      <c r="U174" s="163">
        <v>8</v>
      </c>
      <c r="V174" s="164" t="s">
        <v>364</v>
      </c>
      <c r="W174" s="165">
        <v>180000</v>
      </c>
      <c r="Z174" s="101">
        <v>1</v>
      </c>
      <c r="AA174" s="162" t="s">
        <v>98</v>
      </c>
      <c r="AE174" s="155"/>
      <c r="AG174" s="155"/>
      <c r="AK174" s="155"/>
    </row>
    <row r="175" spans="16:37" ht="18" customHeight="1">
      <c r="P175" s="97">
        <v>174</v>
      </c>
      <c r="Q175" s="129" t="s">
        <v>914</v>
      </c>
      <c r="R175" s="163">
        <v>7</v>
      </c>
      <c r="S175" s="163">
        <v>3</v>
      </c>
      <c r="T175" s="163">
        <v>4</v>
      </c>
      <c r="U175" s="163">
        <v>8</v>
      </c>
      <c r="V175" s="164" t="s">
        <v>916</v>
      </c>
      <c r="W175" s="165">
        <v>195000</v>
      </c>
      <c r="Z175" s="101">
        <v>1</v>
      </c>
      <c r="AA175" s="162" t="s">
        <v>917</v>
      </c>
      <c r="AE175" s="155"/>
      <c r="AG175" s="155"/>
      <c r="AK175" s="155"/>
    </row>
    <row r="176" spans="16:37" ht="18" customHeight="1">
      <c r="P176" s="97">
        <v>175</v>
      </c>
      <c r="Q176" s="129" t="s">
        <v>915</v>
      </c>
      <c r="R176" s="163">
        <v>7</v>
      </c>
      <c r="S176" s="163">
        <v>3</v>
      </c>
      <c r="T176" s="163">
        <v>5</v>
      </c>
      <c r="U176" s="163">
        <v>7</v>
      </c>
      <c r="V176" s="164" t="s">
        <v>919</v>
      </c>
      <c r="W176" s="165">
        <v>195000</v>
      </c>
      <c r="Z176" s="101">
        <v>1</v>
      </c>
      <c r="AA176" s="162" t="s">
        <v>917</v>
      </c>
      <c r="AE176" s="155"/>
      <c r="AG176" s="155"/>
      <c r="AK176" s="155"/>
    </row>
    <row r="177" spans="16:37" ht="18" customHeight="1">
      <c r="P177" s="97">
        <v>176</v>
      </c>
      <c r="Q177" s="129" t="s">
        <v>51</v>
      </c>
      <c r="R177" s="163">
        <v>5</v>
      </c>
      <c r="S177" s="163">
        <v>3</v>
      </c>
      <c r="T177" s="163">
        <v>3</v>
      </c>
      <c r="U177" s="163">
        <v>9</v>
      </c>
      <c r="V177" s="164" t="s">
        <v>352</v>
      </c>
      <c r="W177" s="165">
        <v>100000</v>
      </c>
      <c r="Z177" s="101">
        <v>1</v>
      </c>
      <c r="AA177" s="162" t="s">
        <v>134</v>
      </c>
      <c r="AE177" s="155"/>
      <c r="AG177" s="155"/>
      <c r="AK177" s="155"/>
    </row>
    <row r="178" spans="16:37" ht="18" customHeight="1">
      <c r="P178" s="97">
        <v>177</v>
      </c>
      <c r="Q178" s="129" t="s">
        <v>636</v>
      </c>
      <c r="R178" s="163">
        <v>6</v>
      </c>
      <c r="S178" s="163">
        <v>4</v>
      </c>
      <c r="T178" s="163">
        <v>3</v>
      </c>
      <c r="U178" s="163">
        <v>9</v>
      </c>
      <c r="V178" s="164" t="s">
        <v>261</v>
      </c>
      <c r="W178" s="165">
        <v>290000</v>
      </c>
      <c r="Z178" s="101">
        <v>1</v>
      </c>
      <c r="AA178" s="162" t="s">
        <v>134</v>
      </c>
      <c r="AE178" s="155"/>
      <c r="AG178" s="155"/>
      <c r="AK178" s="155"/>
    </row>
    <row r="179" spans="16:31" ht="18" customHeight="1">
      <c r="P179" s="97">
        <v>178</v>
      </c>
      <c r="Q179" s="129" t="s">
        <v>1</v>
      </c>
      <c r="R179" s="163">
        <v>8</v>
      </c>
      <c r="S179" s="163">
        <v>4</v>
      </c>
      <c r="T179" s="163">
        <v>3</v>
      </c>
      <c r="U179" s="163">
        <v>8</v>
      </c>
      <c r="V179" s="164" t="s">
        <v>262</v>
      </c>
      <c r="W179" s="165">
        <v>240000</v>
      </c>
      <c r="Z179" s="101">
        <v>1</v>
      </c>
      <c r="AA179" s="162" t="s">
        <v>585</v>
      </c>
      <c r="AE179" s="155"/>
    </row>
    <row r="180" spans="16:31" ht="18" customHeight="1">
      <c r="P180" s="97">
        <v>179</v>
      </c>
      <c r="Q180" s="129" t="s">
        <v>366</v>
      </c>
      <c r="R180" s="163">
        <v>5</v>
      </c>
      <c r="S180" s="163">
        <v>4</v>
      </c>
      <c r="T180" s="163">
        <v>3</v>
      </c>
      <c r="U180" s="163">
        <v>8</v>
      </c>
      <c r="V180" s="164" t="s">
        <v>365</v>
      </c>
      <c r="W180" s="165">
        <v>150000</v>
      </c>
      <c r="Z180" s="101">
        <v>1</v>
      </c>
      <c r="AA180" s="162" t="s">
        <v>367</v>
      </c>
      <c r="AE180" s="155"/>
    </row>
    <row r="181" spans="16:31" ht="18" customHeight="1">
      <c r="P181" s="97">
        <v>180</v>
      </c>
      <c r="Q181" s="129" t="s">
        <v>244</v>
      </c>
      <c r="R181" s="163">
        <v>6</v>
      </c>
      <c r="S181" s="163">
        <v>4</v>
      </c>
      <c r="T181" s="163">
        <v>3</v>
      </c>
      <c r="U181" s="163">
        <v>8</v>
      </c>
      <c r="V181" s="164" t="s">
        <v>263</v>
      </c>
      <c r="W181" s="165">
        <v>270000</v>
      </c>
      <c r="Z181" s="101">
        <v>1</v>
      </c>
      <c r="AA181" s="162" t="s">
        <v>368</v>
      </c>
      <c r="AE181" s="155"/>
    </row>
    <row r="182" spans="16:31" ht="18" customHeight="1">
      <c r="P182" s="97">
        <v>181</v>
      </c>
      <c r="Q182" s="129" t="s">
        <v>245</v>
      </c>
      <c r="R182" s="163">
        <v>4</v>
      </c>
      <c r="S182" s="163">
        <v>4</v>
      </c>
      <c r="T182" s="163">
        <v>3</v>
      </c>
      <c r="U182" s="163">
        <v>9</v>
      </c>
      <c r="V182" s="164" t="s">
        <v>264</v>
      </c>
      <c r="W182" s="165">
        <v>90000</v>
      </c>
      <c r="Z182" s="101">
        <v>1</v>
      </c>
      <c r="AA182" s="162" t="s">
        <v>69</v>
      </c>
      <c r="AE182" s="155"/>
    </row>
    <row r="183" spans="16:27" ht="18" customHeight="1">
      <c r="P183" s="97">
        <v>182</v>
      </c>
      <c r="Q183" s="166" t="s">
        <v>600</v>
      </c>
      <c r="R183" s="140">
        <v>6</v>
      </c>
      <c r="S183" s="140">
        <v>3</v>
      </c>
      <c r="T183" s="140">
        <v>3</v>
      </c>
      <c r="U183" s="140">
        <v>7</v>
      </c>
      <c r="V183" s="167" t="s">
        <v>376</v>
      </c>
      <c r="W183" s="141">
        <v>50000</v>
      </c>
      <c r="X183" s="141" t="s">
        <v>13</v>
      </c>
      <c r="Y183" s="141" t="s">
        <v>55</v>
      </c>
      <c r="Z183" s="141">
        <v>11</v>
      </c>
      <c r="AA183" s="168" t="s">
        <v>63</v>
      </c>
    </row>
    <row r="184" spans="16:27" ht="18" customHeight="1">
      <c r="P184" s="97">
        <v>183</v>
      </c>
      <c r="Q184" s="169" t="s">
        <v>601</v>
      </c>
      <c r="R184" s="130">
        <v>6</v>
      </c>
      <c r="S184" s="130">
        <v>3</v>
      </c>
      <c r="T184" s="130">
        <v>2</v>
      </c>
      <c r="U184" s="130">
        <v>7</v>
      </c>
      <c r="V184" s="119" t="s">
        <v>474</v>
      </c>
      <c r="W184" s="121">
        <v>40000</v>
      </c>
      <c r="X184" s="121" t="s">
        <v>13</v>
      </c>
      <c r="Y184" s="121" t="s">
        <v>55</v>
      </c>
      <c r="Z184" s="143">
        <v>11</v>
      </c>
      <c r="AA184" s="170" t="s">
        <v>472</v>
      </c>
    </row>
    <row r="185" spans="16:27" ht="18" customHeight="1">
      <c r="P185" s="97">
        <v>184</v>
      </c>
      <c r="Q185" s="169" t="s">
        <v>377</v>
      </c>
      <c r="R185" s="130">
        <v>6</v>
      </c>
      <c r="S185" s="130">
        <v>3</v>
      </c>
      <c r="T185" s="130">
        <v>3</v>
      </c>
      <c r="U185" s="130">
        <v>8</v>
      </c>
      <c r="V185" s="119" t="s">
        <v>378</v>
      </c>
      <c r="W185" s="121">
        <v>60000</v>
      </c>
      <c r="X185" s="121" t="s">
        <v>67</v>
      </c>
      <c r="Y185" s="121" t="s">
        <v>53</v>
      </c>
      <c r="Z185" s="143">
        <v>11</v>
      </c>
      <c r="AA185" s="171" t="s">
        <v>28</v>
      </c>
    </row>
    <row r="186" spans="16:27" ht="18" customHeight="1">
      <c r="P186" s="97">
        <v>185</v>
      </c>
      <c r="Q186" s="169" t="s">
        <v>379</v>
      </c>
      <c r="R186" s="142">
        <v>6</v>
      </c>
      <c r="S186" s="142">
        <v>3</v>
      </c>
      <c r="T186" s="142">
        <v>3</v>
      </c>
      <c r="U186" s="142">
        <v>7</v>
      </c>
      <c r="V186" s="119" t="s">
        <v>380</v>
      </c>
      <c r="W186" s="143">
        <v>40000</v>
      </c>
      <c r="X186" s="143" t="s">
        <v>13</v>
      </c>
      <c r="Y186" s="143" t="s">
        <v>55</v>
      </c>
      <c r="Z186" s="143">
        <v>11</v>
      </c>
      <c r="AA186" s="171" t="s">
        <v>69</v>
      </c>
    </row>
    <row r="187" spans="16:27" ht="18" customHeight="1">
      <c r="P187" s="97">
        <v>186</v>
      </c>
      <c r="Q187" s="159" t="s">
        <v>602</v>
      </c>
      <c r="R187" s="130">
        <v>6</v>
      </c>
      <c r="S187" s="130">
        <v>3</v>
      </c>
      <c r="T187" s="130">
        <v>3</v>
      </c>
      <c r="U187" s="130">
        <v>8</v>
      </c>
      <c r="V187" s="119" t="s">
        <v>380</v>
      </c>
      <c r="W187" s="121">
        <v>50000</v>
      </c>
      <c r="X187" s="121" t="s">
        <v>294</v>
      </c>
      <c r="Y187" s="121" t="s">
        <v>35</v>
      </c>
      <c r="Z187" s="143">
        <v>11</v>
      </c>
      <c r="AA187" s="171" t="s">
        <v>497</v>
      </c>
    </row>
    <row r="188" spans="16:27" ht="18" customHeight="1">
      <c r="P188" s="97">
        <v>187</v>
      </c>
      <c r="Q188" s="159" t="s">
        <v>603</v>
      </c>
      <c r="R188" s="130">
        <v>6</v>
      </c>
      <c r="S188" s="130">
        <v>3</v>
      </c>
      <c r="T188" s="130">
        <v>4</v>
      </c>
      <c r="U188" s="130">
        <v>8</v>
      </c>
      <c r="V188" s="119" t="s">
        <v>380</v>
      </c>
      <c r="W188" s="121">
        <v>70000</v>
      </c>
      <c r="X188" s="121" t="s">
        <v>54</v>
      </c>
      <c r="Y188" s="121" t="s">
        <v>57</v>
      </c>
      <c r="Z188" s="143">
        <v>11</v>
      </c>
      <c r="AA188" s="171" t="s">
        <v>74</v>
      </c>
    </row>
    <row r="189" spans="16:27" ht="18" customHeight="1">
      <c r="P189" s="97">
        <v>188</v>
      </c>
      <c r="Q189" s="159" t="s">
        <v>464</v>
      </c>
      <c r="R189" s="130">
        <v>6</v>
      </c>
      <c r="S189" s="130">
        <v>3</v>
      </c>
      <c r="T189" s="130">
        <v>3</v>
      </c>
      <c r="U189" s="130">
        <v>8</v>
      </c>
      <c r="V189" s="119" t="s">
        <v>122</v>
      </c>
      <c r="W189" s="121">
        <v>60000</v>
      </c>
      <c r="X189" s="121" t="s">
        <v>52</v>
      </c>
      <c r="Y189" s="121" t="s">
        <v>56</v>
      </c>
      <c r="Z189" s="143">
        <v>11</v>
      </c>
      <c r="AA189" s="171" t="s">
        <v>459</v>
      </c>
    </row>
    <row r="190" spans="16:27" ht="18" customHeight="1">
      <c r="P190" s="97">
        <v>189</v>
      </c>
      <c r="Q190" s="169" t="s">
        <v>381</v>
      </c>
      <c r="R190" s="130">
        <v>4</v>
      </c>
      <c r="S190" s="130">
        <v>3</v>
      </c>
      <c r="T190" s="130">
        <v>2</v>
      </c>
      <c r="U190" s="130">
        <v>9</v>
      </c>
      <c r="V190" s="119" t="s">
        <v>382</v>
      </c>
      <c r="W190" s="143">
        <v>70000</v>
      </c>
      <c r="X190" s="143" t="s">
        <v>58</v>
      </c>
      <c r="Y190" s="143" t="s">
        <v>53</v>
      </c>
      <c r="Z190" s="143">
        <v>11</v>
      </c>
      <c r="AA190" s="171" t="s">
        <v>81</v>
      </c>
    </row>
    <row r="191" spans="16:27" ht="18" customHeight="1">
      <c r="P191" s="97">
        <v>190</v>
      </c>
      <c r="Q191" s="159" t="s">
        <v>604</v>
      </c>
      <c r="R191" s="130">
        <v>6</v>
      </c>
      <c r="S191" s="130">
        <v>3</v>
      </c>
      <c r="T191" s="130">
        <v>4</v>
      </c>
      <c r="U191" s="130">
        <v>7</v>
      </c>
      <c r="V191" s="119" t="s">
        <v>380</v>
      </c>
      <c r="W191" s="121">
        <v>60000</v>
      </c>
      <c r="X191" s="121" t="s">
        <v>54</v>
      </c>
      <c r="Y191" s="121" t="s">
        <v>57</v>
      </c>
      <c r="Z191" s="143">
        <v>11</v>
      </c>
      <c r="AA191" s="171" t="s">
        <v>540</v>
      </c>
    </row>
    <row r="192" spans="16:27" ht="18" customHeight="1">
      <c r="P192" s="97">
        <v>191</v>
      </c>
      <c r="Q192" s="159" t="s">
        <v>383</v>
      </c>
      <c r="R192" s="130">
        <v>6</v>
      </c>
      <c r="S192" s="130">
        <v>2</v>
      </c>
      <c r="T192" s="130">
        <v>3</v>
      </c>
      <c r="U192" s="130">
        <v>7</v>
      </c>
      <c r="V192" s="119" t="s">
        <v>221</v>
      </c>
      <c r="W192" s="121">
        <v>40000</v>
      </c>
      <c r="X192" s="121" t="s">
        <v>35</v>
      </c>
      <c r="Y192" s="121" t="s">
        <v>96</v>
      </c>
      <c r="Z192" s="143">
        <v>11</v>
      </c>
      <c r="AA192" s="171" t="s">
        <v>27</v>
      </c>
    </row>
    <row r="193" spans="16:27" ht="18" customHeight="1">
      <c r="P193" s="97">
        <v>192</v>
      </c>
      <c r="Q193" s="169" t="s">
        <v>384</v>
      </c>
      <c r="R193" s="130">
        <v>5</v>
      </c>
      <c r="S193" s="130">
        <v>2</v>
      </c>
      <c r="T193" s="130">
        <v>3</v>
      </c>
      <c r="U193" s="130">
        <v>6</v>
      </c>
      <c r="V193" s="119" t="s">
        <v>221</v>
      </c>
      <c r="W193" s="121">
        <v>30000</v>
      </c>
      <c r="X193" s="121" t="s">
        <v>35</v>
      </c>
      <c r="Y193" s="121" t="s">
        <v>96</v>
      </c>
      <c r="Z193" s="143">
        <v>11</v>
      </c>
      <c r="AA193" s="171" t="s">
        <v>29</v>
      </c>
    </row>
    <row r="194" spans="16:27" ht="18" customHeight="1">
      <c r="P194" s="97">
        <v>193</v>
      </c>
      <c r="Q194" s="159" t="s">
        <v>605</v>
      </c>
      <c r="R194" s="130">
        <v>6</v>
      </c>
      <c r="S194" s="130">
        <v>3</v>
      </c>
      <c r="T194" s="130">
        <v>4</v>
      </c>
      <c r="U194" s="130">
        <v>8</v>
      </c>
      <c r="V194" s="119" t="s">
        <v>380</v>
      </c>
      <c r="W194" s="121">
        <v>70000</v>
      </c>
      <c r="X194" s="121" t="s">
        <v>54</v>
      </c>
      <c r="Y194" s="121" t="s">
        <v>57</v>
      </c>
      <c r="Z194" s="143">
        <v>11</v>
      </c>
      <c r="AA194" s="171" t="s">
        <v>98</v>
      </c>
    </row>
    <row r="195" spans="16:27" ht="18" customHeight="1">
      <c r="P195" s="97">
        <v>194</v>
      </c>
      <c r="Q195" s="159" t="s">
        <v>606</v>
      </c>
      <c r="R195" s="142">
        <v>6</v>
      </c>
      <c r="S195" s="142">
        <v>3</v>
      </c>
      <c r="T195" s="142">
        <v>3</v>
      </c>
      <c r="U195" s="142">
        <v>8</v>
      </c>
      <c r="V195" s="119" t="s">
        <v>380</v>
      </c>
      <c r="W195" s="143">
        <v>50000</v>
      </c>
      <c r="X195" s="143" t="s">
        <v>13</v>
      </c>
      <c r="Y195" s="143" t="s">
        <v>55</v>
      </c>
      <c r="Z195" s="143">
        <v>11</v>
      </c>
      <c r="AA195" s="171" t="s">
        <v>101</v>
      </c>
    </row>
    <row r="196" spans="16:27" ht="18" customHeight="1">
      <c r="P196" s="97">
        <v>195</v>
      </c>
      <c r="Q196" s="159" t="s">
        <v>385</v>
      </c>
      <c r="R196" s="130">
        <v>5</v>
      </c>
      <c r="S196" s="130">
        <v>3</v>
      </c>
      <c r="T196" s="130">
        <v>2</v>
      </c>
      <c r="U196" s="130">
        <v>7</v>
      </c>
      <c r="V196" s="119" t="s">
        <v>386</v>
      </c>
      <c r="W196" s="121">
        <v>40000</v>
      </c>
      <c r="X196" s="121" t="s">
        <v>13</v>
      </c>
      <c r="Y196" s="121" t="s">
        <v>55</v>
      </c>
      <c r="Z196" s="143">
        <v>11</v>
      </c>
      <c r="AA196" s="171" t="s">
        <v>509</v>
      </c>
    </row>
    <row r="197" spans="16:27" ht="18" customHeight="1">
      <c r="P197" s="97">
        <v>196</v>
      </c>
      <c r="Q197" s="159" t="s">
        <v>387</v>
      </c>
      <c r="R197" s="142">
        <v>8</v>
      </c>
      <c r="S197" s="142">
        <v>2</v>
      </c>
      <c r="T197" s="142">
        <v>3</v>
      </c>
      <c r="U197" s="142">
        <v>7</v>
      </c>
      <c r="V197" s="119" t="s">
        <v>388</v>
      </c>
      <c r="W197" s="143">
        <v>60000</v>
      </c>
      <c r="X197" s="143" t="s">
        <v>35</v>
      </c>
      <c r="Y197" s="143" t="s">
        <v>96</v>
      </c>
      <c r="Z197" s="143">
        <v>11</v>
      </c>
      <c r="AA197" s="171" t="s">
        <v>111</v>
      </c>
    </row>
    <row r="198" spans="16:27" ht="18" customHeight="1">
      <c r="P198" s="97">
        <v>197</v>
      </c>
      <c r="Q198" s="159" t="s">
        <v>389</v>
      </c>
      <c r="R198" s="142">
        <v>4</v>
      </c>
      <c r="S198" s="142">
        <v>3</v>
      </c>
      <c r="T198" s="142">
        <v>2</v>
      </c>
      <c r="U198" s="142">
        <v>8</v>
      </c>
      <c r="V198" s="119" t="s">
        <v>390</v>
      </c>
      <c r="W198" s="143">
        <v>40000</v>
      </c>
      <c r="X198" s="143" t="s">
        <v>13</v>
      </c>
      <c r="Y198" s="143" t="s">
        <v>55</v>
      </c>
      <c r="Z198" s="143">
        <v>11</v>
      </c>
      <c r="AA198" s="171" t="s">
        <v>520</v>
      </c>
    </row>
    <row r="199" spans="16:27" ht="18" customHeight="1">
      <c r="P199" s="97">
        <v>198</v>
      </c>
      <c r="Q199" s="169" t="s">
        <v>607</v>
      </c>
      <c r="R199" s="142">
        <v>6</v>
      </c>
      <c r="S199" s="142">
        <v>3</v>
      </c>
      <c r="T199" s="142">
        <v>3</v>
      </c>
      <c r="U199" s="142">
        <v>7</v>
      </c>
      <c r="V199" s="119" t="s">
        <v>391</v>
      </c>
      <c r="W199" s="143">
        <v>50000</v>
      </c>
      <c r="X199" s="143" t="s">
        <v>13</v>
      </c>
      <c r="Y199" s="143" t="s">
        <v>55</v>
      </c>
      <c r="Z199" s="143">
        <v>11</v>
      </c>
      <c r="AA199" s="171" t="s">
        <v>30</v>
      </c>
    </row>
    <row r="200" spans="16:27" ht="12.75">
      <c r="P200" s="97">
        <v>199</v>
      </c>
      <c r="Q200" s="159" t="s">
        <v>392</v>
      </c>
      <c r="R200" s="142">
        <v>5</v>
      </c>
      <c r="S200" s="142">
        <v>3</v>
      </c>
      <c r="T200" s="142">
        <v>3</v>
      </c>
      <c r="U200" s="142">
        <v>8</v>
      </c>
      <c r="V200" s="119" t="s">
        <v>393</v>
      </c>
      <c r="W200" s="143">
        <v>40000</v>
      </c>
      <c r="X200" s="143" t="s">
        <v>37</v>
      </c>
      <c r="Y200" s="143" t="s">
        <v>55</v>
      </c>
      <c r="Z200" s="143">
        <v>11</v>
      </c>
      <c r="AA200" s="171" t="s">
        <v>39</v>
      </c>
    </row>
    <row r="201" spans="16:27" ht="12.75">
      <c r="P201" s="97">
        <v>200</v>
      </c>
      <c r="Q201" s="159" t="s">
        <v>394</v>
      </c>
      <c r="R201" s="142">
        <v>5</v>
      </c>
      <c r="S201" s="142">
        <v>1</v>
      </c>
      <c r="T201" s="142">
        <v>3</v>
      </c>
      <c r="U201" s="142">
        <v>5</v>
      </c>
      <c r="V201" s="119" t="s">
        <v>395</v>
      </c>
      <c r="W201" s="143">
        <v>20000</v>
      </c>
      <c r="X201" s="143" t="s">
        <v>35</v>
      </c>
      <c r="Y201" s="143" t="s">
        <v>96</v>
      </c>
      <c r="Z201" s="143">
        <v>11</v>
      </c>
      <c r="AA201" s="171" t="s">
        <v>38</v>
      </c>
    </row>
    <row r="202" spans="16:27" ht="12.75">
      <c r="P202" s="97">
        <v>201</v>
      </c>
      <c r="Q202" s="159" t="s">
        <v>608</v>
      </c>
      <c r="R202" s="142">
        <v>5</v>
      </c>
      <c r="S202" s="142">
        <v>3</v>
      </c>
      <c r="T202" s="142">
        <v>3</v>
      </c>
      <c r="U202" s="142">
        <v>9</v>
      </c>
      <c r="V202" s="119" t="s">
        <v>380</v>
      </c>
      <c r="W202" s="143">
        <v>50000</v>
      </c>
      <c r="X202" s="143" t="s">
        <v>13</v>
      </c>
      <c r="Y202" s="143" t="s">
        <v>55</v>
      </c>
      <c r="Z202" s="143">
        <v>11</v>
      </c>
      <c r="AA202" s="171" t="s">
        <v>134</v>
      </c>
    </row>
    <row r="203" spans="16:27" ht="12.75">
      <c r="P203" s="97">
        <v>202</v>
      </c>
      <c r="Q203" s="159" t="s">
        <v>609</v>
      </c>
      <c r="R203" s="142">
        <v>7</v>
      </c>
      <c r="S203" s="142">
        <v>3</v>
      </c>
      <c r="T203" s="142">
        <v>3</v>
      </c>
      <c r="U203" s="142">
        <v>7</v>
      </c>
      <c r="V203" s="119" t="s">
        <v>380</v>
      </c>
      <c r="W203" s="143">
        <v>50000</v>
      </c>
      <c r="X203" s="143" t="s">
        <v>13</v>
      </c>
      <c r="Y203" s="143" t="s">
        <v>139</v>
      </c>
      <c r="Z203" s="143">
        <v>11</v>
      </c>
      <c r="AA203" s="171" t="s">
        <v>31</v>
      </c>
    </row>
    <row r="204" spans="16:27" ht="12.75">
      <c r="P204" s="97">
        <v>203</v>
      </c>
      <c r="Q204" s="159" t="s">
        <v>610</v>
      </c>
      <c r="R204" s="142">
        <v>6</v>
      </c>
      <c r="S204" s="142">
        <v>3</v>
      </c>
      <c r="T204" s="142">
        <v>3</v>
      </c>
      <c r="U204" s="142">
        <v>8</v>
      </c>
      <c r="V204" s="119" t="s">
        <v>396</v>
      </c>
      <c r="W204" s="143">
        <v>60000</v>
      </c>
      <c r="X204" s="143" t="s">
        <v>13</v>
      </c>
      <c r="Y204" s="143" t="s">
        <v>55</v>
      </c>
      <c r="Z204" s="143">
        <v>11</v>
      </c>
      <c r="AA204" s="171" t="s">
        <v>297</v>
      </c>
    </row>
    <row r="205" spans="16:27" ht="12.75">
      <c r="P205" s="97">
        <v>204</v>
      </c>
      <c r="Q205" s="159" t="s">
        <v>397</v>
      </c>
      <c r="R205" s="130">
        <v>5</v>
      </c>
      <c r="S205" s="130">
        <v>3</v>
      </c>
      <c r="T205" s="130">
        <v>2</v>
      </c>
      <c r="U205" s="130">
        <v>7</v>
      </c>
      <c r="V205" s="119" t="s">
        <v>386</v>
      </c>
      <c r="W205" s="121">
        <v>40000</v>
      </c>
      <c r="X205" s="121" t="s">
        <v>13</v>
      </c>
      <c r="Y205" s="121" t="s">
        <v>55</v>
      </c>
      <c r="Z205" s="143">
        <v>11</v>
      </c>
      <c r="AA205" s="171" t="s">
        <v>521</v>
      </c>
    </row>
    <row r="206" spans="16:27" ht="12.75">
      <c r="P206" s="97">
        <v>205</v>
      </c>
      <c r="Q206" s="159" t="s">
        <v>398</v>
      </c>
      <c r="R206" s="130">
        <v>4</v>
      </c>
      <c r="S206" s="130">
        <v>3</v>
      </c>
      <c r="T206" s="130">
        <v>2</v>
      </c>
      <c r="U206" s="130">
        <v>8</v>
      </c>
      <c r="V206" s="119" t="s">
        <v>390</v>
      </c>
      <c r="W206" s="121">
        <v>40000</v>
      </c>
      <c r="X206" s="121" t="s">
        <v>13</v>
      </c>
      <c r="Y206" s="121" t="s">
        <v>55</v>
      </c>
      <c r="Z206" s="143">
        <v>11</v>
      </c>
      <c r="AA206" s="171" t="s">
        <v>521</v>
      </c>
    </row>
    <row r="207" spans="16:27" ht="12.75">
      <c r="P207" s="97">
        <v>206</v>
      </c>
      <c r="Q207" s="159" t="s">
        <v>611</v>
      </c>
      <c r="R207" s="142">
        <v>6</v>
      </c>
      <c r="S207" s="142">
        <v>2</v>
      </c>
      <c r="T207" s="142">
        <v>3</v>
      </c>
      <c r="U207" s="142">
        <v>7</v>
      </c>
      <c r="V207" s="119" t="s">
        <v>399</v>
      </c>
      <c r="W207" s="143">
        <v>40000</v>
      </c>
      <c r="X207" s="143" t="s">
        <v>295</v>
      </c>
      <c r="Y207" s="143" t="s">
        <v>96</v>
      </c>
      <c r="Z207" s="143">
        <v>11</v>
      </c>
      <c r="AA207" s="171" t="s">
        <v>305</v>
      </c>
    </row>
    <row r="208" spans="16:27" ht="12.75">
      <c r="P208" s="97">
        <v>207</v>
      </c>
      <c r="Q208" s="159" t="s">
        <v>400</v>
      </c>
      <c r="R208" s="142">
        <v>6</v>
      </c>
      <c r="S208" s="142">
        <v>3</v>
      </c>
      <c r="T208" s="142">
        <v>3</v>
      </c>
      <c r="U208" s="142">
        <v>7</v>
      </c>
      <c r="V208" s="119" t="s">
        <v>380</v>
      </c>
      <c r="W208" s="143">
        <v>40000</v>
      </c>
      <c r="X208" s="143" t="s">
        <v>13</v>
      </c>
      <c r="Y208" s="143" t="s">
        <v>55</v>
      </c>
      <c r="Z208" s="143">
        <v>11</v>
      </c>
      <c r="AA208" s="171" t="s">
        <v>25</v>
      </c>
    </row>
    <row r="209" spans="16:27" ht="12.75">
      <c r="P209" s="97">
        <v>208</v>
      </c>
      <c r="Q209" s="161" t="s">
        <v>612</v>
      </c>
      <c r="R209" s="133">
        <v>7</v>
      </c>
      <c r="S209" s="133">
        <v>3</v>
      </c>
      <c r="T209" s="133">
        <v>4</v>
      </c>
      <c r="U209" s="133">
        <v>7</v>
      </c>
      <c r="V209" s="134" t="s">
        <v>380</v>
      </c>
      <c r="W209" s="135">
        <v>70000</v>
      </c>
      <c r="X209" s="135" t="s">
        <v>54</v>
      </c>
      <c r="Y209" s="135" t="s">
        <v>57</v>
      </c>
      <c r="Z209" s="153">
        <v>11</v>
      </c>
      <c r="AA209" s="172" t="s">
        <v>144</v>
      </c>
    </row>
    <row r="210" spans="16:27" ht="20.25">
      <c r="P210" s="97">
        <v>209</v>
      </c>
      <c r="Q210" s="98" t="s">
        <v>489</v>
      </c>
      <c r="R210" s="99">
        <v>7</v>
      </c>
      <c r="S210" s="99">
        <v>3</v>
      </c>
      <c r="T210" s="99">
        <v>4</v>
      </c>
      <c r="U210" s="99">
        <v>9</v>
      </c>
      <c r="V210" s="100" t="s">
        <v>429</v>
      </c>
      <c r="W210" s="101">
        <v>250000</v>
      </c>
      <c r="Z210" s="101">
        <v>1</v>
      </c>
      <c r="AA210" s="162" t="s">
        <v>572</v>
      </c>
    </row>
    <row r="211" spans="16:27" ht="12.75">
      <c r="P211" s="97">
        <v>210</v>
      </c>
      <c r="Q211" s="98" t="s">
        <v>414</v>
      </c>
      <c r="R211" s="99">
        <v>8</v>
      </c>
      <c r="S211" s="99">
        <v>3</v>
      </c>
      <c r="T211" s="99">
        <v>4</v>
      </c>
      <c r="U211" s="99">
        <v>7</v>
      </c>
      <c r="V211" s="100" t="s">
        <v>430</v>
      </c>
      <c r="W211" s="101">
        <v>220000</v>
      </c>
      <c r="Z211" s="101">
        <v>1</v>
      </c>
      <c r="AA211" s="162" t="s">
        <v>573</v>
      </c>
    </row>
    <row r="212" spans="16:27" ht="12.75">
      <c r="P212" s="97">
        <v>211</v>
      </c>
      <c r="Q212" s="98" t="s">
        <v>405</v>
      </c>
      <c r="R212" s="99">
        <v>6</v>
      </c>
      <c r="S212" s="99">
        <v>2</v>
      </c>
      <c r="T212" s="99">
        <v>4</v>
      </c>
      <c r="U212" s="99">
        <v>7</v>
      </c>
      <c r="V212" s="100" t="s">
        <v>431</v>
      </c>
      <c r="W212" s="101">
        <v>210000</v>
      </c>
      <c r="Z212" s="101">
        <v>1</v>
      </c>
      <c r="AA212" s="162" t="s">
        <v>432</v>
      </c>
    </row>
    <row r="213" spans="16:27" ht="20.25">
      <c r="P213" s="97">
        <v>212</v>
      </c>
      <c r="Q213" s="98" t="s">
        <v>415</v>
      </c>
      <c r="R213" s="99">
        <v>10</v>
      </c>
      <c r="S213" s="99">
        <v>3</v>
      </c>
      <c r="T213" s="99">
        <v>5</v>
      </c>
      <c r="U213" s="99">
        <v>7</v>
      </c>
      <c r="V213" s="100" t="s">
        <v>433</v>
      </c>
      <c r="W213" s="101">
        <v>340000</v>
      </c>
      <c r="Z213" s="101">
        <v>1</v>
      </c>
      <c r="AA213" s="162" t="s">
        <v>574</v>
      </c>
    </row>
    <row r="214" spans="16:27" ht="20.25">
      <c r="P214" s="97">
        <v>213</v>
      </c>
      <c r="Q214" s="98" t="s">
        <v>471</v>
      </c>
      <c r="R214" s="99">
        <v>6</v>
      </c>
      <c r="S214" s="99">
        <v>4</v>
      </c>
      <c r="T214" s="99">
        <v>5</v>
      </c>
      <c r="U214" s="99">
        <v>8</v>
      </c>
      <c r="V214" s="100" t="s">
        <v>478</v>
      </c>
      <c r="W214" s="101">
        <v>290000</v>
      </c>
      <c r="Z214" s="101">
        <v>1</v>
      </c>
      <c r="AA214" s="162" t="s">
        <v>477</v>
      </c>
    </row>
    <row r="215" spans="16:27" ht="20.25">
      <c r="P215" s="97">
        <v>214</v>
      </c>
      <c r="Q215" s="98" t="s">
        <v>418</v>
      </c>
      <c r="R215" s="99">
        <v>8</v>
      </c>
      <c r="S215" s="99">
        <v>3</v>
      </c>
      <c r="T215" s="99">
        <v>5</v>
      </c>
      <c r="U215" s="99">
        <v>7</v>
      </c>
      <c r="V215" s="100" t="s">
        <v>434</v>
      </c>
      <c r="W215" s="101">
        <v>340000</v>
      </c>
      <c r="Z215" s="101">
        <v>1</v>
      </c>
      <c r="AA215" s="162" t="s">
        <v>574</v>
      </c>
    </row>
    <row r="216" spans="16:27" ht="12.75">
      <c r="P216" s="97">
        <v>215</v>
      </c>
      <c r="Q216" s="98" t="s">
        <v>402</v>
      </c>
      <c r="R216" s="99">
        <v>3</v>
      </c>
      <c r="S216" s="99">
        <v>6</v>
      </c>
      <c r="T216" s="99">
        <v>1</v>
      </c>
      <c r="U216" s="99">
        <v>10</v>
      </c>
      <c r="V216" s="100" t="s">
        <v>435</v>
      </c>
      <c r="W216" s="101">
        <v>310000</v>
      </c>
      <c r="Z216" s="101">
        <v>1</v>
      </c>
      <c r="AA216" s="162" t="s">
        <v>29</v>
      </c>
    </row>
    <row r="217" spans="16:27" ht="30">
      <c r="P217" s="97">
        <v>216</v>
      </c>
      <c r="Q217" s="98" t="s">
        <v>409</v>
      </c>
      <c r="R217" s="99">
        <v>7</v>
      </c>
      <c r="S217" s="99">
        <v>3</v>
      </c>
      <c r="T217" s="99">
        <v>3</v>
      </c>
      <c r="U217" s="99">
        <v>7</v>
      </c>
      <c r="V217" s="100" t="s">
        <v>436</v>
      </c>
      <c r="W217" s="101">
        <v>210000</v>
      </c>
      <c r="Z217" s="101">
        <v>1</v>
      </c>
      <c r="AA217" s="162" t="s">
        <v>591</v>
      </c>
    </row>
    <row r="218" spans="16:27" ht="12.75">
      <c r="P218" s="97">
        <v>217</v>
      </c>
      <c r="Q218" s="98" t="s">
        <v>427</v>
      </c>
      <c r="R218" s="99">
        <v>8</v>
      </c>
      <c r="S218" s="99">
        <v>3</v>
      </c>
      <c r="T218" s="99">
        <v>4</v>
      </c>
      <c r="U218" s="99">
        <v>7</v>
      </c>
      <c r="V218" s="100" t="s">
        <v>437</v>
      </c>
      <c r="W218" s="101">
        <v>300000</v>
      </c>
      <c r="Z218" s="101">
        <v>1</v>
      </c>
      <c r="AA218" s="162" t="s">
        <v>573</v>
      </c>
    </row>
    <row r="219" spans="16:27" ht="12.75">
      <c r="P219" s="97">
        <v>218</v>
      </c>
      <c r="Q219" s="98" t="s">
        <v>479</v>
      </c>
      <c r="R219" s="99">
        <v>6</v>
      </c>
      <c r="S219" s="99">
        <v>2</v>
      </c>
      <c r="T219" s="99">
        <v>5</v>
      </c>
      <c r="U219" s="99">
        <v>7</v>
      </c>
      <c r="V219" s="100" t="s">
        <v>486</v>
      </c>
      <c r="W219" s="101">
        <v>190000</v>
      </c>
      <c r="Z219" s="101">
        <v>1</v>
      </c>
      <c r="AA219" s="162" t="s">
        <v>432</v>
      </c>
    </row>
    <row r="220" spans="16:27" ht="20.25">
      <c r="P220" s="97">
        <v>219</v>
      </c>
      <c r="Q220" s="98" t="s">
        <v>403</v>
      </c>
      <c r="R220" s="99">
        <v>7</v>
      </c>
      <c r="S220" s="99">
        <v>3</v>
      </c>
      <c r="T220" s="99">
        <v>3</v>
      </c>
      <c r="U220" s="99">
        <v>7</v>
      </c>
      <c r="V220" s="100" t="s">
        <v>438</v>
      </c>
      <c r="W220" s="101">
        <v>220000</v>
      </c>
      <c r="Z220" s="101">
        <v>1</v>
      </c>
      <c r="AA220" s="162" t="s">
        <v>570</v>
      </c>
    </row>
    <row r="221" spans="16:27" ht="12.75">
      <c r="P221" s="97">
        <v>220</v>
      </c>
      <c r="Q221" s="98" t="s">
        <v>413</v>
      </c>
      <c r="R221" s="99">
        <v>5</v>
      </c>
      <c r="S221" s="99">
        <v>4</v>
      </c>
      <c r="T221" s="99">
        <v>2</v>
      </c>
      <c r="U221" s="99">
        <v>8</v>
      </c>
      <c r="V221" s="100" t="s">
        <v>439</v>
      </c>
      <c r="W221" s="101">
        <v>220000</v>
      </c>
      <c r="Z221" s="101">
        <v>1</v>
      </c>
      <c r="AA221" s="162" t="s">
        <v>81</v>
      </c>
    </row>
    <row r="222" spans="16:27" ht="12.75">
      <c r="P222" s="97">
        <v>221</v>
      </c>
      <c r="Q222" s="98" t="s">
        <v>423</v>
      </c>
      <c r="R222" s="99">
        <v>6</v>
      </c>
      <c r="S222" s="99">
        <v>4</v>
      </c>
      <c r="T222" s="99">
        <v>4</v>
      </c>
      <c r="U222" s="99">
        <v>9</v>
      </c>
      <c r="V222" s="100" t="s">
        <v>440</v>
      </c>
      <c r="W222" s="101">
        <v>310000</v>
      </c>
      <c r="Z222" s="101">
        <v>1</v>
      </c>
      <c r="AA222" s="162" t="s">
        <v>134</v>
      </c>
    </row>
    <row r="223" spans="16:27" ht="12.75">
      <c r="P223" s="97">
        <v>222</v>
      </c>
      <c r="Q223" s="98" t="s">
        <v>407</v>
      </c>
      <c r="R223" s="99">
        <v>9</v>
      </c>
      <c r="S223" s="99">
        <v>2</v>
      </c>
      <c r="T223" s="99">
        <v>3</v>
      </c>
      <c r="U223" s="99">
        <v>7</v>
      </c>
      <c r="V223" s="100" t="s">
        <v>441</v>
      </c>
      <c r="W223" s="101">
        <v>230000</v>
      </c>
      <c r="Z223" s="101">
        <v>1</v>
      </c>
      <c r="AA223" s="162" t="s">
        <v>442</v>
      </c>
    </row>
    <row r="224" spans="16:27" ht="12.75">
      <c r="P224" s="97">
        <v>223</v>
      </c>
      <c r="Q224" s="98" t="s">
        <v>411</v>
      </c>
      <c r="R224" s="99">
        <v>6</v>
      </c>
      <c r="S224" s="99">
        <v>3</v>
      </c>
      <c r="T224" s="99">
        <v>3</v>
      </c>
      <c r="U224" s="99">
        <v>8</v>
      </c>
      <c r="V224" s="100" t="s">
        <v>443</v>
      </c>
      <c r="W224" s="101">
        <v>240000</v>
      </c>
      <c r="Z224" s="101">
        <v>1</v>
      </c>
      <c r="AA224" s="162" t="s">
        <v>442</v>
      </c>
    </row>
    <row r="225" spans="16:27" ht="20.25">
      <c r="P225" s="97">
        <v>224</v>
      </c>
      <c r="Q225" s="98" t="s">
        <v>416</v>
      </c>
      <c r="R225" s="99">
        <v>7</v>
      </c>
      <c r="S225" s="99">
        <v>3</v>
      </c>
      <c r="T225" s="99">
        <v>3</v>
      </c>
      <c r="U225" s="99">
        <v>8</v>
      </c>
      <c r="V225" s="100" t="s">
        <v>444</v>
      </c>
      <c r="W225" s="101">
        <v>220000</v>
      </c>
      <c r="Z225" s="101">
        <v>1</v>
      </c>
      <c r="AA225" s="162" t="s">
        <v>577</v>
      </c>
    </row>
    <row r="226" spans="16:27" ht="20.25">
      <c r="P226" s="97">
        <v>225</v>
      </c>
      <c r="Q226" s="98" t="s">
        <v>417</v>
      </c>
      <c r="R226" s="99">
        <v>6</v>
      </c>
      <c r="S226" s="99">
        <v>3</v>
      </c>
      <c r="T226" s="99">
        <v>3</v>
      </c>
      <c r="U226" s="99">
        <v>8</v>
      </c>
      <c r="V226" s="100" t="s">
        <v>445</v>
      </c>
      <c r="W226" s="101">
        <v>190000</v>
      </c>
      <c r="Z226" s="101">
        <v>1</v>
      </c>
      <c r="AA226" s="162" t="s">
        <v>480</v>
      </c>
    </row>
    <row r="227" spans="16:27" ht="12.75">
      <c r="P227" s="97">
        <v>226</v>
      </c>
      <c r="Q227" s="98" t="s">
        <v>598</v>
      </c>
      <c r="R227" s="99">
        <v>7</v>
      </c>
      <c r="S227" s="99">
        <v>3</v>
      </c>
      <c r="T227" s="99">
        <v>4</v>
      </c>
      <c r="U227" s="99">
        <v>8</v>
      </c>
      <c r="V227" s="100" t="s">
        <v>599</v>
      </c>
      <c r="W227" s="101">
        <v>220000</v>
      </c>
      <c r="Z227" s="101">
        <v>1</v>
      </c>
      <c r="AA227" s="162" t="s">
        <v>98</v>
      </c>
    </row>
    <row r="228" spans="16:27" ht="12.75">
      <c r="P228" s="97">
        <v>227</v>
      </c>
      <c r="Q228" s="98" t="s">
        <v>420</v>
      </c>
      <c r="R228" s="99">
        <v>6</v>
      </c>
      <c r="S228" s="99">
        <v>3</v>
      </c>
      <c r="T228" s="99">
        <v>3</v>
      </c>
      <c r="U228" s="99">
        <v>8</v>
      </c>
      <c r="V228" s="100" t="s">
        <v>446</v>
      </c>
      <c r="W228" s="101">
        <v>250000</v>
      </c>
      <c r="Z228" s="101">
        <v>1</v>
      </c>
      <c r="AA228" s="162" t="s">
        <v>81</v>
      </c>
    </row>
    <row r="229" spans="16:27" ht="12.75">
      <c r="P229" s="97">
        <v>228</v>
      </c>
      <c r="Q229" s="98" t="s">
        <v>421</v>
      </c>
      <c r="R229" s="99">
        <v>4</v>
      </c>
      <c r="S229" s="99">
        <v>4</v>
      </c>
      <c r="T229" s="99">
        <v>2</v>
      </c>
      <c r="U229" s="99">
        <v>9</v>
      </c>
      <c r="V229" s="100" t="s">
        <v>447</v>
      </c>
      <c r="W229" s="101">
        <v>190000</v>
      </c>
      <c r="Z229" s="101">
        <v>1</v>
      </c>
      <c r="AA229" s="162" t="s">
        <v>448</v>
      </c>
    </row>
    <row r="230" spans="16:27" ht="12.75">
      <c r="P230" s="97">
        <v>229</v>
      </c>
      <c r="Q230" s="98" t="s">
        <v>596</v>
      </c>
      <c r="R230" s="99">
        <v>8</v>
      </c>
      <c r="S230" s="99">
        <v>4</v>
      </c>
      <c r="T230" s="99">
        <v>3</v>
      </c>
      <c r="U230" s="99">
        <v>7</v>
      </c>
      <c r="V230" s="100" t="s">
        <v>597</v>
      </c>
      <c r="W230" s="101">
        <v>240000</v>
      </c>
      <c r="Z230" s="101">
        <v>1</v>
      </c>
      <c r="AA230" s="162" t="s">
        <v>30</v>
      </c>
    </row>
    <row r="231" spans="16:27" ht="20.25">
      <c r="P231" s="97">
        <v>230</v>
      </c>
      <c r="Q231" s="98" t="s">
        <v>404</v>
      </c>
      <c r="R231" s="99">
        <v>8</v>
      </c>
      <c r="S231" s="99">
        <v>2</v>
      </c>
      <c r="T231" s="99">
        <v>4</v>
      </c>
      <c r="U231" s="99">
        <v>7</v>
      </c>
      <c r="V231" s="100" t="s">
        <v>449</v>
      </c>
      <c r="W231" s="101">
        <v>250000</v>
      </c>
      <c r="Z231" s="101">
        <v>1</v>
      </c>
      <c r="AA231" s="162" t="s">
        <v>481</v>
      </c>
    </row>
    <row r="232" spans="16:27" ht="20.25">
      <c r="P232" s="97">
        <v>231</v>
      </c>
      <c r="Q232" s="98" t="s">
        <v>419</v>
      </c>
      <c r="R232" s="99">
        <v>8</v>
      </c>
      <c r="S232" s="99">
        <v>3</v>
      </c>
      <c r="T232" s="99">
        <v>3</v>
      </c>
      <c r="U232" s="99">
        <v>8</v>
      </c>
      <c r="V232" s="100" t="s">
        <v>450</v>
      </c>
      <c r="W232" s="101">
        <v>260000</v>
      </c>
      <c r="Z232" s="101">
        <v>1</v>
      </c>
      <c r="AA232" s="162" t="s">
        <v>482</v>
      </c>
    </row>
    <row r="233" spans="16:27" ht="30">
      <c r="P233" s="97">
        <v>232</v>
      </c>
      <c r="Q233" s="98" t="s">
        <v>406</v>
      </c>
      <c r="R233" s="99">
        <v>6</v>
      </c>
      <c r="S233" s="99">
        <v>3</v>
      </c>
      <c r="T233" s="99">
        <v>4</v>
      </c>
      <c r="U233" s="99">
        <v>8</v>
      </c>
      <c r="V233" s="100" t="s">
        <v>451</v>
      </c>
      <c r="W233" s="101">
        <v>170000</v>
      </c>
      <c r="Z233" s="101">
        <v>1</v>
      </c>
      <c r="AA233" s="162" t="s">
        <v>571</v>
      </c>
    </row>
    <row r="234" spans="16:27" ht="18" customHeight="1">
      <c r="P234" s="97">
        <v>233</v>
      </c>
      <c r="Q234" s="98" t="s">
        <v>428</v>
      </c>
      <c r="R234" s="99">
        <v>6</v>
      </c>
      <c r="S234" s="99">
        <v>3</v>
      </c>
      <c r="T234" s="99">
        <v>4</v>
      </c>
      <c r="U234" s="99">
        <v>9</v>
      </c>
      <c r="V234" s="100" t="s">
        <v>452</v>
      </c>
      <c r="W234" s="101">
        <v>270000</v>
      </c>
      <c r="Z234" s="101">
        <v>1</v>
      </c>
      <c r="AA234" s="162" t="s">
        <v>134</v>
      </c>
    </row>
    <row r="235" spans="16:27" ht="18" customHeight="1">
      <c r="P235" s="97">
        <v>234</v>
      </c>
      <c r="Q235" s="98" t="s">
        <v>412</v>
      </c>
      <c r="R235" s="99">
        <v>6</v>
      </c>
      <c r="S235" s="99">
        <v>4</v>
      </c>
      <c r="T235" s="99">
        <v>4</v>
      </c>
      <c r="U235" s="99">
        <v>8</v>
      </c>
      <c r="V235" s="100" t="s">
        <v>391</v>
      </c>
      <c r="W235" s="101">
        <v>190000</v>
      </c>
      <c r="Z235" s="101">
        <v>1</v>
      </c>
      <c r="AA235" s="162" t="s">
        <v>578</v>
      </c>
    </row>
    <row r="236" spans="16:27" ht="18" customHeight="1">
      <c r="P236" s="97">
        <v>235</v>
      </c>
      <c r="Q236" s="98" t="s">
        <v>424</v>
      </c>
      <c r="R236" s="99">
        <v>9</v>
      </c>
      <c r="S236" s="99">
        <v>2</v>
      </c>
      <c r="T236" s="99">
        <v>4</v>
      </c>
      <c r="U236" s="99">
        <v>7</v>
      </c>
      <c r="V236" s="100" t="s">
        <v>453</v>
      </c>
      <c r="W236" s="101">
        <v>290000</v>
      </c>
      <c r="Z236" s="101">
        <v>1</v>
      </c>
      <c r="AA236" s="162" t="s">
        <v>483</v>
      </c>
    </row>
    <row r="237" spans="16:27" ht="18" customHeight="1">
      <c r="P237" s="97">
        <v>236</v>
      </c>
      <c r="Q237" s="98" t="s">
        <v>426</v>
      </c>
      <c r="R237" s="99">
        <v>7</v>
      </c>
      <c r="S237" s="99">
        <v>4</v>
      </c>
      <c r="T237" s="99">
        <v>3</v>
      </c>
      <c r="U237" s="99">
        <v>7</v>
      </c>
      <c r="V237" s="100" t="s">
        <v>451</v>
      </c>
      <c r="W237" s="101">
        <v>180000</v>
      </c>
      <c r="Z237" s="101">
        <v>1</v>
      </c>
      <c r="AA237" s="162" t="s">
        <v>372</v>
      </c>
    </row>
    <row r="238" spans="16:27" ht="18" customHeight="1">
      <c r="P238" s="97">
        <v>237</v>
      </c>
      <c r="Q238" s="98" t="s">
        <v>469</v>
      </c>
      <c r="R238" s="99">
        <v>6</v>
      </c>
      <c r="S238" s="99">
        <v>3</v>
      </c>
      <c r="T238" s="99">
        <v>3</v>
      </c>
      <c r="U238" s="99">
        <v>8</v>
      </c>
      <c r="V238" s="100" t="s">
        <v>484</v>
      </c>
      <c r="W238" s="101">
        <v>300000</v>
      </c>
      <c r="Z238" s="101">
        <v>1</v>
      </c>
      <c r="AA238" s="162" t="s">
        <v>581</v>
      </c>
    </row>
    <row r="239" spans="16:27" ht="18" customHeight="1">
      <c r="P239" s="97">
        <v>238</v>
      </c>
      <c r="Q239" s="98" t="s">
        <v>422</v>
      </c>
      <c r="R239" s="99">
        <v>8</v>
      </c>
      <c r="S239" s="99">
        <v>3</v>
      </c>
      <c r="T239" s="99">
        <v>5</v>
      </c>
      <c r="U239" s="99">
        <v>7</v>
      </c>
      <c r="V239" s="100" t="s">
        <v>454</v>
      </c>
      <c r="W239" s="101">
        <v>340000</v>
      </c>
      <c r="Z239" s="101">
        <v>1</v>
      </c>
      <c r="AA239" s="162" t="s">
        <v>574</v>
      </c>
    </row>
    <row r="240" spans="16:27" ht="18" customHeight="1">
      <c r="P240" s="97">
        <v>239</v>
      </c>
      <c r="Q240" s="98" t="s">
        <v>425</v>
      </c>
      <c r="R240" s="99">
        <v>5</v>
      </c>
      <c r="S240" s="99">
        <v>3</v>
      </c>
      <c r="T240" s="99">
        <v>4</v>
      </c>
      <c r="U240" s="99">
        <v>9</v>
      </c>
      <c r="V240" s="100" t="s">
        <v>455</v>
      </c>
      <c r="W240" s="101">
        <v>210000</v>
      </c>
      <c r="Z240" s="101">
        <v>1</v>
      </c>
      <c r="AA240" s="162" t="s">
        <v>81</v>
      </c>
    </row>
    <row r="241" spans="16:27" ht="18" customHeight="1">
      <c r="P241" s="97">
        <v>240</v>
      </c>
      <c r="Q241" s="98" t="s">
        <v>408</v>
      </c>
      <c r="R241" s="99">
        <v>7</v>
      </c>
      <c r="S241" s="99">
        <v>3</v>
      </c>
      <c r="T241" s="99">
        <v>4</v>
      </c>
      <c r="U241" s="99">
        <v>8</v>
      </c>
      <c r="V241" s="100" t="s">
        <v>456</v>
      </c>
      <c r="W241" s="101">
        <v>210000</v>
      </c>
      <c r="Z241" s="101">
        <v>1</v>
      </c>
      <c r="AA241" s="162" t="s">
        <v>592</v>
      </c>
    </row>
    <row r="242" spans="16:27" ht="18" customHeight="1">
      <c r="P242" s="97">
        <v>241</v>
      </c>
      <c r="Q242" s="98" t="s">
        <v>614</v>
      </c>
      <c r="R242" s="99">
        <v>5</v>
      </c>
      <c r="S242" s="99">
        <v>4</v>
      </c>
      <c r="T242" s="99">
        <v>3</v>
      </c>
      <c r="U242" s="99">
        <v>8</v>
      </c>
      <c r="V242" s="100" t="s">
        <v>485</v>
      </c>
      <c r="W242" s="101">
        <v>260000</v>
      </c>
      <c r="Z242" s="101">
        <v>1</v>
      </c>
      <c r="AA242" s="162" t="s">
        <v>487</v>
      </c>
    </row>
    <row r="243" spans="16:27" ht="18" customHeight="1">
      <c r="P243" s="97">
        <v>242</v>
      </c>
      <c r="Q243" s="98" t="s">
        <v>615</v>
      </c>
      <c r="R243" s="99">
        <v>6</v>
      </c>
      <c r="S243" s="99">
        <v>3</v>
      </c>
      <c r="T243" s="99">
        <v>3</v>
      </c>
      <c r="U243" s="99">
        <v>10</v>
      </c>
      <c r="V243" s="100" t="s">
        <v>488</v>
      </c>
      <c r="W243" s="101">
        <v>260000</v>
      </c>
      <c r="Z243" s="101">
        <v>1</v>
      </c>
      <c r="AA243" s="162" t="s">
        <v>637</v>
      </c>
    </row>
  </sheetData>
  <sheetProtection/>
  <mergeCells count="26">
    <mergeCell ref="AA25:AA29"/>
    <mergeCell ref="AA53:AA56"/>
    <mergeCell ref="AA43:AA50"/>
    <mergeCell ref="AA3:AA6"/>
    <mergeCell ref="AA7:AA9"/>
    <mergeCell ref="AA10:AA12"/>
    <mergeCell ref="AA13:AA16"/>
    <mergeCell ref="AA30:AA33"/>
    <mergeCell ref="AA17:AA24"/>
    <mergeCell ref="AA57:AA61"/>
    <mergeCell ref="AA62:AA65"/>
    <mergeCell ref="AA66:AA68"/>
    <mergeCell ref="AA69:AA73"/>
    <mergeCell ref="AA74:AA79"/>
    <mergeCell ref="AA34:AA38"/>
    <mergeCell ref="AA39:AA42"/>
    <mergeCell ref="AA51:AA52"/>
    <mergeCell ref="AA111:AA112"/>
    <mergeCell ref="AA113:AA117"/>
    <mergeCell ref="AA80:AA83"/>
    <mergeCell ref="AA84:AA85"/>
    <mergeCell ref="AA86:AA91"/>
    <mergeCell ref="AA92:AA96"/>
    <mergeCell ref="AA97:AA100"/>
    <mergeCell ref="AA101:AA105"/>
    <mergeCell ref="AA106:AA110"/>
  </mergeCells>
  <printOptions horizontalCentered="1" verticalCentered="1"/>
  <pageMargins left="0.2755905511811024" right="0.2755905511811024" top="0.1968503937007874" bottom="0.1968503937007874" header="0" footer="0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V226"/>
  <sheetViews>
    <sheetView showFormulas="1" zoomScale="106" zoomScaleNormal="106" zoomScalePageLayoutView="0" workbookViewId="0" topLeftCell="A52">
      <selection activeCell="B64" sqref="B64:D67"/>
    </sheetView>
  </sheetViews>
  <sheetFormatPr defaultColWidth="0" defaultRowHeight="18" customHeight="1"/>
  <cols>
    <col min="1" max="1" width="1.7109375" style="0" customWidth="1"/>
    <col min="2" max="2" width="3.7109375" style="216" customWidth="1"/>
    <col min="3" max="3" width="15.7109375" style="270" customWidth="1"/>
    <col min="4" max="4" width="12.7109375" style="0" customWidth="1"/>
    <col min="5" max="5" width="1.7109375" style="0" customWidth="1"/>
    <col min="6" max="17" width="3.7109375" style="2" customWidth="1"/>
    <col min="18" max="23" width="7.7109375" style="2" customWidth="1"/>
    <col min="24" max="24" width="1.7109375" style="0" customWidth="1"/>
    <col min="25" max="25" width="3.7109375" style="93" customWidth="1"/>
    <col min="26" max="29" width="6.7109375" style="93" customWidth="1"/>
    <col min="30" max="30" width="8.7109375" style="93" customWidth="1"/>
    <col min="31" max="31" width="1.7109375" style="92" customWidth="1"/>
    <col min="32" max="32" width="5.7109375" style="278" customWidth="1"/>
    <col min="33" max="33" width="27.7109375" style="286" customWidth="1"/>
    <col min="34" max="37" width="3.7109375" style="300" customWidth="1"/>
    <col min="38" max="38" width="91.7109375" style="308" customWidth="1"/>
    <col min="39" max="39" width="10.7109375" style="315" customWidth="1"/>
    <col min="40" max="40" width="12.8515625" style="280" customWidth="1"/>
    <col min="41" max="41" width="1.7109375" style="147" customWidth="1"/>
    <col min="42" max="42" width="3.7109375" style="147" customWidth="1"/>
    <col min="43" max="43" width="27.7109375" style="101" customWidth="1"/>
    <col min="44" max="44" width="27.7109375" style="148" customWidth="1"/>
    <col min="45" max="45" width="1.7109375" style="102" customWidth="1"/>
    <col min="46" max="48" width="27.7109375" style="144" customWidth="1"/>
    <col min="49" max="50" width="27.7109375" style="149" customWidth="1"/>
    <col min="51" max="52" width="27.7109375" style="144" customWidth="1"/>
    <col min="53" max="53" width="27.7109375" style="149" customWidth="1"/>
    <col min="54" max="57" width="27.7109375" style="144" customWidth="1"/>
    <col min="58" max="58" width="27.7109375" style="93" customWidth="1"/>
    <col min="59" max="59" width="27.7109375" style="144" customWidth="1"/>
    <col min="60" max="60" width="27.7109375" style="93" customWidth="1"/>
    <col min="61" max="61" width="27.7109375" style="149" customWidth="1"/>
    <col min="62" max="65" width="27.7109375" style="93" customWidth="1"/>
    <col min="66" max="66" width="27.7109375" style="144" customWidth="1"/>
    <col min="67" max="68" width="27.7109375" style="93" customWidth="1"/>
    <col min="69" max="69" width="27.7109375" style="144" customWidth="1"/>
    <col min="70" max="70" width="27.7109375" style="93" customWidth="1"/>
    <col min="71" max="71" width="27.7109375" style="144" customWidth="1"/>
    <col min="72" max="72" width="1.7109375" style="92" customWidth="1"/>
    <col min="73" max="75" width="0" style="92" hidden="1" customWidth="1"/>
    <col min="76" max="76" width="9.421875" style="92" hidden="1" customWidth="1"/>
    <col min="77" max="94" width="0" style="92" hidden="1" customWidth="1"/>
    <col min="95" max="95" width="9.421875" style="92" hidden="1" customWidth="1"/>
    <col min="96" max="16384" width="0" style="92" hidden="1" customWidth="1"/>
  </cols>
  <sheetData>
    <row r="1" spans="6:72" ht="18" customHeight="1"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Y1" s="95"/>
      <c r="Z1" s="95"/>
      <c r="AA1" s="95"/>
      <c r="AB1" s="95"/>
      <c r="AC1" s="95"/>
      <c r="AD1" s="95"/>
      <c r="AE1" s="96"/>
      <c r="AP1" s="106">
        <v>1</v>
      </c>
      <c r="AQ1" s="107"/>
      <c r="AR1" s="108"/>
      <c r="AS1" s="105"/>
      <c r="AT1" s="109"/>
      <c r="AU1" s="109"/>
      <c r="AV1" s="109"/>
      <c r="AW1" s="110"/>
      <c r="AX1" s="110"/>
      <c r="AY1" s="109"/>
      <c r="AZ1" s="109"/>
      <c r="BA1" s="110"/>
      <c r="BB1" s="109"/>
      <c r="BC1" s="109"/>
      <c r="BD1" s="109"/>
      <c r="BE1" s="109"/>
      <c r="BF1" s="110"/>
      <c r="BG1" s="109"/>
      <c r="BH1" s="110"/>
      <c r="BI1" s="110"/>
      <c r="BJ1" s="110"/>
      <c r="BK1" s="110"/>
      <c r="BL1" s="110"/>
      <c r="BM1" s="110"/>
      <c r="BN1" s="109"/>
      <c r="BO1" s="110"/>
      <c r="BP1" s="110"/>
      <c r="BQ1" s="109"/>
      <c r="BR1" s="110"/>
      <c r="BS1" s="109"/>
      <c r="BT1" s="111"/>
    </row>
    <row r="2" spans="2:72" ht="18" customHeight="1">
      <c r="B2" s="275">
        <v>1</v>
      </c>
      <c r="C2" s="271"/>
      <c r="D2" s="237"/>
      <c r="F2" s="217" t="s">
        <v>730</v>
      </c>
      <c r="G2" s="218"/>
      <c r="H2" s="218"/>
      <c r="I2" s="218"/>
      <c r="J2" s="218"/>
      <c r="K2" s="217" t="s">
        <v>731</v>
      </c>
      <c r="L2" s="218"/>
      <c r="M2" s="218"/>
      <c r="N2" s="218"/>
      <c r="O2" s="218"/>
      <c r="P2" s="218"/>
      <c r="Q2" s="218"/>
      <c r="R2" s="217" t="s">
        <v>732</v>
      </c>
      <c r="S2" s="218"/>
      <c r="T2" s="218"/>
      <c r="U2" s="218"/>
      <c r="V2" s="218"/>
      <c r="W2" s="218"/>
      <c r="Y2" s="95"/>
      <c r="Z2" s="113" t="s">
        <v>19</v>
      </c>
      <c r="AA2" s="113" t="s">
        <v>20</v>
      </c>
      <c r="AB2" s="113" t="s">
        <v>21</v>
      </c>
      <c r="AC2" s="113" t="s">
        <v>14</v>
      </c>
      <c r="AD2" s="114"/>
      <c r="AE2" s="115"/>
      <c r="AF2" s="281">
        <v>1</v>
      </c>
      <c r="AG2" s="117" t="s">
        <v>621</v>
      </c>
      <c r="AH2" s="118" t="s">
        <v>19</v>
      </c>
      <c r="AI2" s="118" t="s">
        <v>20</v>
      </c>
      <c r="AJ2" s="118" t="s">
        <v>21</v>
      </c>
      <c r="AK2" s="118" t="s">
        <v>154</v>
      </c>
      <c r="AL2" s="314" t="s">
        <v>620</v>
      </c>
      <c r="AM2" s="104" t="s">
        <v>458</v>
      </c>
      <c r="AN2" s="104" t="s">
        <v>622</v>
      </c>
      <c r="AO2" s="106"/>
      <c r="AP2" s="106">
        <f aca="true" t="shared" si="0" ref="AP2:AP10">IF(AQ2="","",AP1+1)</f>
        <v>2</v>
      </c>
      <c r="AQ2" s="107" t="str">
        <f aca="true" t="shared" si="1" ref="AQ2:AQ10">IF(AR2=0,"",AR2)</f>
        <v>Linewoman Amazon Mercenary</v>
      </c>
      <c r="AR2" s="108" t="str">
        <f>HLOOKUP('Luccini 2019'!$K$24,$AT$2:$BS$10,2,FALSE)</f>
        <v>Linewoman Amazon Mercenary</v>
      </c>
      <c r="AS2" s="105"/>
      <c r="AT2" s="122" t="s">
        <v>63</v>
      </c>
      <c r="AU2" s="122" t="s">
        <v>472</v>
      </c>
      <c r="AV2" s="123" t="s">
        <v>504</v>
      </c>
      <c r="AW2" s="123" t="s">
        <v>69</v>
      </c>
      <c r="AX2" s="123" t="s">
        <v>497</v>
      </c>
      <c r="AY2" s="123" t="s">
        <v>74</v>
      </c>
      <c r="AZ2" s="123" t="s">
        <v>468</v>
      </c>
      <c r="BA2" s="123" t="s">
        <v>81</v>
      </c>
      <c r="BB2" s="122" t="s">
        <v>540</v>
      </c>
      <c r="BC2" s="123" t="s">
        <v>27</v>
      </c>
      <c r="BD2" s="123" t="s">
        <v>29</v>
      </c>
      <c r="BE2" s="123" t="s">
        <v>98</v>
      </c>
      <c r="BF2" s="123" t="s">
        <v>101</v>
      </c>
      <c r="BG2" s="122" t="s">
        <v>509</v>
      </c>
      <c r="BH2" s="122" t="s">
        <v>111</v>
      </c>
      <c r="BI2" s="122" t="s">
        <v>520</v>
      </c>
      <c r="BJ2" s="123" t="s">
        <v>30</v>
      </c>
      <c r="BK2" s="122" t="s">
        <v>39</v>
      </c>
      <c r="BL2" s="122" t="s">
        <v>38</v>
      </c>
      <c r="BM2" s="122" t="s">
        <v>134</v>
      </c>
      <c r="BN2" s="122" t="s">
        <v>521</v>
      </c>
      <c r="BO2" s="123" t="s">
        <v>31</v>
      </c>
      <c r="BP2" s="122" t="s">
        <v>297</v>
      </c>
      <c r="BQ2" s="122" t="s">
        <v>305</v>
      </c>
      <c r="BR2" s="122" t="s">
        <v>25</v>
      </c>
      <c r="BS2" s="123" t="s">
        <v>144</v>
      </c>
      <c r="BT2" s="94"/>
    </row>
    <row r="3" spans="2:72" ht="18" customHeight="1">
      <c r="B3" s="276">
        <v>2</v>
      </c>
      <c r="C3" s="238" t="s">
        <v>670</v>
      </c>
      <c r="D3" s="239"/>
      <c r="F3" s="219">
        <f>COUNTIF(K20:P20,1)</f>
        <v>0</v>
      </c>
      <c r="G3" s="220">
        <f>COUNTIF(K20:P20,2)</f>
        <v>0</v>
      </c>
      <c r="H3" s="220">
        <f>COUNTIF(K20:P20,3)</f>
        <v>0</v>
      </c>
      <c r="I3" s="221">
        <f>COUNTIF(K20:P20,4)</f>
        <v>0</v>
      </c>
      <c r="J3" s="222"/>
      <c r="K3" s="219">
        <v>1</v>
      </c>
      <c r="L3" s="220">
        <v>1</v>
      </c>
      <c r="M3" s="220">
        <v>0</v>
      </c>
      <c r="N3" s="220">
        <v>0</v>
      </c>
      <c r="O3" s="220">
        <v>0</v>
      </c>
      <c r="P3" s="221">
        <v>0</v>
      </c>
      <c r="Q3" s="222"/>
      <c r="R3" s="223">
        <f>IF(K3&gt;1,VLOOKUP(K3,$B$2:$C$67,2),"")</f>
      </c>
      <c r="S3" s="224">
        <f aca="true" t="shared" si="2" ref="S3:S18">IF(L3&gt;1,VLOOKUP(L3,$B$2:$C$65,2),"")</f>
      </c>
      <c r="T3" s="224">
        <f aca="true" t="shared" si="3" ref="T3:T18">IF(M3&gt;1,VLOOKUP(M3,$B$2:$C$65,2),"")</f>
      </c>
      <c r="U3" s="224">
        <f aca="true" t="shared" si="4" ref="U3:U18">IF(N3&gt;1,VLOOKUP(N3,$B$2:$C$65,2),"")</f>
      </c>
      <c r="V3" s="224">
        <f aca="true" t="shared" si="5" ref="V3:V18">IF(O3&gt;1,VLOOKUP(O3,$B$2:$C$65,2),"")</f>
      </c>
      <c r="W3" s="225">
        <f aca="true" t="shared" si="6" ref="W3:W18">IF(P3&gt;1,VLOOKUP(P3,$B$2:$C$65,2),"")</f>
      </c>
      <c r="Y3" s="95">
        <v>1</v>
      </c>
      <c r="Z3" s="114" t="e">
        <f>VLOOKUP('Luccini 2019'!E33,$AG:$AM,2,FALSE)</f>
        <v>#N/A</v>
      </c>
      <c r="AA3" s="114" t="e">
        <f>VLOOKUP('Luccini 2019'!E33,$AG:$AM,3,FALSE)</f>
        <v>#N/A</v>
      </c>
      <c r="AB3" s="114" t="e">
        <f>VLOOKUP('Luccini 2019'!E33,$AG:$AM,4,FALSE)</f>
        <v>#N/A</v>
      </c>
      <c r="AC3" s="114" t="e">
        <f>VLOOKUP('Luccini 2019'!E33,$AG:$AM,5,FALSE)</f>
        <v>#N/A</v>
      </c>
      <c r="AD3" s="121" t="str">
        <f>(IF('Luccini 2019'!E33&lt;&gt;"",VLOOKUP('Luccini 2019'!E33,$AG:$AM,7,FALSE),"0"))</f>
        <v>0</v>
      </c>
      <c r="AE3" s="124"/>
      <c r="AF3" s="281">
        <v>2</v>
      </c>
      <c r="AG3" s="287" t="s">
        <v>738</v>
      </c>
      <c r="AH3" s="301">
        <v>6</v>
      </c>
      <c r="AI3" s="301">
        <v>3</v>
      </c>
      <c r="AJ3" s="301">
        <v>3</v>
      </c>
      <c r="AK3" s="301">
        <v>7</v>
      </c>
      <c r="AL3" s="309" t="s">
        <v>376</v>
      </c>
      <c r="AM3" s="316">
        <v>80000</v>
      </c>
      <c r="AN3" s="382" t="s">
        <v>63</v>
      </c>
      <c r="AO3" s="106"/>
      <c r="AP3" s="106">
        <f t="shared" si="0"/>
        <v>3</v>
      </c>
      <c r="AQ3" s="107" t="str">
        <f t="shared" si="1"/>
        <v>Thrower Amazon Mercenary</v>
      </c>
      <c r="AR3" s="108" t="str">
        <f>HLOOKUP('Luccini 2019'!$K$24,$AT$2:$BS$10,3,FALSE)</f>
        <v>Thrower Amazon Mercenary</v>
      </c>
      <c r="AS3" s="105"/>
      <c r="AT3" s="129" t="s">
        <v>738</v>
      </c>
      <c r="AU3" s="129" t="s">
        <v>739</v>
      </c>
      <c r="AV3" s="98" t="s">
        <v>740</v>
      </c>
      <c r="AW3" s="98" t="s">
        <v>741</v>
      </c>
      <c r="AX3" s="98" t="s">
        <v>742</v>
      </c>
      <c r="AY3" s="129" t="s">
        <v>743</v>
      </c>
      <c r="AZ3" s="129" t="s">
        <v>846</v>
      </c>
      <c r="BA3" s="98" t="s">
        <v>744</v>
      </c>
      <c r="BB3" s="129" t="s">
        <v>745</v>
      </c>
      <c r="BC3" s="129" t="s">
        <v>746</v>
      </c>
      <c r="BD3" s="98" t="s">
        <v>747</v>
      </c>
      <c r="BE3" s="129" t="s">
        <v>748</v>
      </c>
      <c r="BF3" s="129" t="s">
        <v>749</v>
      </c>
      <c r="BG3" s="129" t="s">
        <v>750</v>
      </c>
      <c r="BH3" s="129" t="s">
        <v>751</v>
      </c>
      <c r="BI3" s="129" t="s">
        <v>752</v>
      </c>
      <c r="BJ3" s="98" t="s">
        <v>753</v>
      </c>
      <c r="BK3" s="129" t="s">
        <v>754</v>
      </c>
      <c r="BL3" s="129" t="s">
        <v>755</v>
      </c>
      <c r="BM3" s="129" t="s">
        <v>756</v>
      </c>
      <c r="BN3" s="129" t="s">
        <v>759</v>
      </c>
      <c r="BO3" s="129" t="s">
        <v>757</v>
      </c>
      <c r="BP3" s="129" t="s">
        <v>758</v>
      </c>
      <c r="BQ3" s="129" t="s">
        <v>760</v>
      </c>
      <c r="BR3" s="129" t="s">
        <v>761</v>
      </c>
      <c r="BS3" s="129" t="s">
        <v>762</v>
      </c>
      <c r="BT3" s="111"/>
    </row>
    <row r="4" spans="2:72" ht="18" customHeight="1">
      <c r="B4" s="276">
        <v>3</v>
      </c>
      <c r="C4" s="272" t="s">
        <v>75</v>
      </c>
      <c r="D4" s="240" t="s">
        <v>671</v>
      </c>
      <c r="F4" s="219">
        <f aca="true" t="shared" si="7" ref="F4:F18">COUNTIF(K21:P21,1)</f>
        <v>0</v>
      </c>
      <c r="G4" s="220">
        <f aca="true" t="shared" si="8" ref="G4:G18">COUNTIF(K21:P21,2)</f>
        <v>0</v>
      </c>
      <c r="H4" s="220">
        <f aca="true" t="shared" si="9" ref="H4:H18">COUNTIF(K21:P21,3)</f>
        <v>0</v>
      </c>
      <c r="I4" s="221">
        <f aca="true" t="shared" si="10" ref="I4:I18">COUNTIF(K21:P21,4)</f>
        <v>0</v>
      </c>
      <c r="J4" s="222"/>
      <c r="K4" s="226">
        <v>1</v>
      </c>
      <c r="L4" s="227">
        <v>0</v>
      </c>
      <c r="M4" s="227">
        <v>0</v>
      </c>
      <c r="N4" s="227">
        <v>0</v>
      </c>
      <c r="O4" s="227">
        <v>0</v>
      </c>
      <c r="P4" s="228">
        <v>0</v>
      </c>
      <c r="Q4" s="222"/>
      <c r="R4" s="229">
        <f>IF(K4&gt;1,VLOOKUP(K4,$B$2:$C$67,2),"")</f>
      </c>
      <c r="S4" s="230">
        <f t="shared" si="2"/>
      </c>
      <c r="T4" s="230">
        <f t="shared" si="3"/>
      </c>
      <c r="U4" s="230">
        <f t="shared" si="4"/>
      </c>
      <c r="V4" s="230">
        <f t="shared" si="5"/>
      </c>
      <c r="W4" s="231">
        <f t="shared" si="6"/>
      </c>
      <c r="Y4" s="95">
        <v>1</v>
      </c>
      <c r="Z4" s="114" t="e">
        <f>VLOOKUP('Luccini 2019'!E34,$AG:$AM,2,FALSE)</f>
        <v>#N/A</v>
      </c>
      <c r="AA4" s="114" t="e">
        <f>VLOOKUP('Luccini 2019'!E34,$AG:$AM,3,FALSE)</f>
        <v>#N/A</v>
      </c>
      <c r="AB4" s="114" t="e">
        <f>VLOOKUP('Luccini 2019'!E34,$AG:$AM,4,FALSE)</f>
        <v>#N/A</v>
      </c>
      <c r="AC4" s="114" t="e">
        <f>VLOOKUP('Luccini 2019'!E34,$AG:$AM,5,FALSE)</f>
        <v>#N/A</v>
      </c>
      <c r="AD4" s="121" t="str">
        <f>(IF('Luccini 2019'!E34&lt;&gt;"",VLOOKUP('Luccini 2019'!E34,$AG:$AM,7,FALSE),"0"))</f>
        <v>0</v>
      </c>
      <c r="AE4" s="124"/>
      <c r="AF4" s="281">
        <v>3</v>
      </c>
      <c r="AG4" s="288" t="s">
        <v>763</v>
      </c>
      <c r="AH4" s="302">
        <v>6</v>
      </c>
      <c r="AI4" s="302">
        <v>3</v>
      </c>
      <c r="AJ4" s="302">
        <v>3</v>
      </c>
      <c r="AK4" s="302">
        <v>7</v>
      </c>
      <c r="AL4" s="310" t="s">
        <v>850</v>
      </c>
      <c r="AM4" s="317">
        <v>100000</v>
      </c>
      <c r="AN4" s="383"/>
      <c r="AO4" s="106"/>
      <c r="AP4" s="106">
        <f t="shared" si="0"/>
        <v>4</v>
      </c>
      <c r="AQ4" s="107" t="str">
        <f t="shared" si="1"/>
        <v>Catcher Amazon Mercenary</v>
      </c>
      <c r="AR4" s="108" t="str">
        <f>HLOOKUP('Luccini 2019'!$K$24,$AT$2:$BS$10,4,FALSE)</f>
        <v>Catcher Amazon Mercenary</v>
      </c>
      <c r="AS4" s="105"/>
      <c r="AT4" s="129" t="s">
        <v>763</v>
      </c>
      <c r="AU4" s="129" t="s">
        <v>764</v>
      </c>
      <c r="AV4" s="98" t="s">
        <v>765</v>
      </c>
      <c r="AW4" s="98" t="s">
        <v>766</v>
      </c>
      <c r="AX4" s="98" t="s">
        <v>767</v>
      </c>
      <c r="AY4" s="129" t="s">
        <v>768</v>
      </c>
      <c r="AZ4" s="129" t="s">
        <v>847</v>
      </c>
      <c r="BA4" s="98" t="s">
        <v>769</v>
      </c>
      <c r="BB4" s="129" t="s">
        <v>770</v>
      </c>
      <c r="BC4" s="129" t="s">
        <v>771</v>
      </c>
      <c r="BD4" s="129" t="s">
        <v>772</v>
      </c>
      <c r="BE4" s="129" t="s">
        <v>773</v>
      </c>
      <c r="BF4" s="129" t="s">
        <v>774</v>
      </c>
      <c r="BG4" s="129" t="s">
        <v>775</v>
      </c>
      <c r="BH4" s="129" t="s">
        <v>776</v>
      </c>
      <c r="BI4" s="129" t="s">
        <v>777</v>
      </c>
      <c r="BJ4" s="98" t="s">
        <v>778</v>
      </c>
      <c r="BK4" s="129" t="s">
        <v>779</v>
      </c>
      <c r="BL4" s="129" t="s">
        <v>780</v>
      </c>
      <c r="BM4" s="129" t="s">
        <v>781</v>
      </c>
      <c r="BN4" s="98" t="s">
        <v>784</v>
      </c>
      <c r="BO4" s="129" t="s">
        <v>782</v>
      </c>
      <c r="BP4" s="129" t="s">
        <v>783</v>
      </c>
      <c r="BQ4" s="98" t="s">
        <v>785</v>
      </c>
      <c r="BR4" s="129" t="s">
        <v>786</v>
      </c>
      <c r="BS4" s="129" t="s">
        <v>787</v>
      </c>
      <c r="BT4" s="111"/>
    </row>
    <row r="5" spans="2:72" ht="18" customHeight="1">
      <c r="B5" s="276">
        <v>4</v>
      </c>
      <c r="C5" s="272" t="s">
        <v>672</v>
      </c>
      <c r="D5" s="240" t="s">
        <v>671</v>
      </c>
      <c r="F5" s="219">
        <f t="shared" si="7"/>
        <v>0</v>
      </c>
      <c r="G5" s="220">
        <f t="shared" si="8"/>
        <v>0</v>
      </c>
      <c r="H5" s="220">
        <f t="shared" si="9"/>
        <v>0</v>
      </c>
      <c r="I5" s="221">
        <f t="shared" si="10"/>
        <v>0</v>
      </c>
      <c r="J5" s="222"/>
      <c r="K5" s="226">
        <v>0</v>
      </c>
      <c r="L5" s="227">
        <v>0</v>
      </c>
      <c r="M5" s="227">
        <v>0</v>
      </c>
      <c r="N5" s="227">
        <v>0</v>
      </c>
      <c r="O5" s="227">
        <v>0</v>
      </c>
      <c r="P5" s="228">
        <v>0</v>
      </c>
      <c r="Q5" s="222"/>
      <c r="R5" s="229">
        <f>IF(K5&gt;1,VLOOKUP(K5,$B$2:$C$67,2),"")</f>
      </c>
      <c r="S5" s="230">
        <f t="shared" si="2"/>
      </c>
      <c r="T5" s="230">
        <f t="shared" si="3"/>
      </c>
      <c r="U5" s="230">
        <f t="shared" si="4"/>
      </c>
      <c r="V5" s="230">
        <f t="shared" si="5"/>
      </c>
      <c r="W5" s="231">
        <f t="shared" si="6"/>
      </c>
      <c r="Y5" s="95">
        <v>1</v>
      </c>
      <c r="Z5" s="114" t="e">
        <f>VLOOKUP('Luccini 2019'!E35,$AG:$AM,2,FALSE)</f>
        <v>#N/A</v>
      </c>
      <c r="AA5" s="114" t="e">
        <f>VLOOKUP('Luccini 2019'!E35,$AG:$AM,3,FALSE)</f>
        <v>#N/A</v>
      </c>
      <c r="AB5" s="114" t="e">
        <f>VLOOKUP('Luccini 2019'!E35,$AG:$AM,4,FALSE)</f>
        <v>#N/A</v>
      </c>
      <c r="AC5" s="114" t="e">
        <f>VLOOKUP('Luccini 2019'!E35,$AG:$AM,5,FALSE)</f>
        <v>#N/A</v>
      </c>
      <c r="AD5" s="121" t="str">
        <f>(IF('Luccini 2019'!E35&lt;&gt;"",VLOOKUP('Luccini 2019'!E35,$AG:$AM,7,FALSE),"0"))</f>
        <v>0</v>
      </c>
      <c r="AE5" s="124"/>
      <c r="AF5" s="281">
        <v>4</v>
      </c>
      <c r="AG5" s="288" t="s">
        <v>788</v>
      </c>
      <c r="AH5" s="302">
        <v>6</v>
      </c>
      <c r="AI5" s="302">
        <v>3</v>
      </c>
      <c r="AJ5" s="302">
        <v>3</v>
      </c>
      <c r="AK5" s="302">
        <v>7</v>
      </c>
      <c r="AL5" s="310" t="s">
        <v>851</v>
      </c>
      <c r="AM5" s="317">
        <v>100000</v>
      </c>
      <c r="AN5" s="383"/>
      <c r="AO5" s="106"/>
      <c r="AP5" s="106">
        <f t="shared" si="0"/>
        <v>5</v>
      </c>
      <c r="AQ5" s="107" t="str">
        <f t="shared" si="1"/>
        <v>Blitzer Amazon Mercenary</v>
      </c>
      <c r="AR5" s="108" t="str">
        <f>HLOOKUP('Luccini 2019'!$K$24,$AT$2:$BS$10,5,FALSE)</f>
        <v>Blitzer Amazon Mercenary</v>
      </c>
      <c r="AS5" s="105"/>
      <c r="AT5" s="129" t="s">
        <v>788</v>
      </c>
      <c r="AU5" s="129" t="s">
        <v>789</v>
      </c>
      <c r="AV5" s="129" t="s">
        <v>790</v>
      </c>
      <c r="AW5" s="98" t="s">
        <v>791</v>
      </c>
      <c r="AX5" s="98" t="s">
        <v>792</v>
      </c>
      <c r="AY5" s="129" t="s">
        <v>793</v>
      </c>
      <c r="AZ5" s="129" t="s">
        <v>848</v>
      </c>
      <c r="BA5" s="98" t="s">
        <v>794</v>
      </c>
      <c r="BB5" s="129" t="s">
        <v>795</v>
      </c>
      <c r="BC5" s="129" t="s">
        <v>796</v>
      </c>
      <c r="BD5" s="129"/>
      <c r="BE5" s="129" t="s">
        <v>797</v>
      </c>
      <c r="BF5" s="129" t="s">
        <v>798</v>
      </c>
      <c r="BG5" s="129" t="s">
        <v>799</v>
      </c>
      <c r="BH5" s="129" t="s">
        <v>800</v>
      </c>
      <c r="BI5" s="129" t="s">
        <v>801</v>
      </c>
      <c r="BJ5" s="98" t="s">
        <v>802</v>
      </c>
      <c r="BK5" s="129" t="s">
        <v>803</v>
      </c>
      <c r="BL5" s="129"/>
      <c r="BM5" s="129" t="s">
        <v>804</v>
      </c>
      <c r="BN5" s="98" t="s">
        <v>807</v>
      </c>
      <c r="BO5" s="129" t="s">
        <v>805</v>
      </c>
      <c r="BP5" s="129" t="s">
        <v>806</v>
      </c>
      <c r="BQ5" s="98" t="s">
        <v>808</v>
      </c>
      <c r="BR5" s="129"/>
      <c r="BS5" s="129" t="s">
        <v>809</v>
      </c>
      <c r="BT5" s="111"/>
    </row>
    <row r="6" spans="2:72" ht="18" customHeight="1">
      <c r="B6" s="276">
        <v>5</v>
      </c>
      <c r="C6" s="272" t="s">
        <v>673</v>
      </c>
      <c r="D6" s="240" t="s">
        <v>671</v>
      </c>
      <c r="F6" s="219">
        <f t="shared" si="7"/>
        <v>0</v>
      </c>
      <c r="G6" s="220">
        <f t="shared" si="8"/>
        <v>0</v>
      </c>
      <c r="H6" s="220">
        <f t="shared" si="9"/>
        <v>0</v>
      </c>
      <c r="I6" s="221">
        <f t="shared" si="10"/>
        <v>0</v>
      </c>
      <c r="J6" s="222"/>
      <c r="K6" s="226">
        <v>0</v>
      </c>
      <c r="L6" s="227">
        <v>0</v>
      </c>
      <c r="M6" s="227">
        <v>0</v>
      </c>
      <c r="N6" s="227">
        <v>0</v>
      </c>
      <c r="O6" s="227">
        <v>0</v>
      </c>
      <c r="P6" s="228">
        <v>0</v>
      </c>
      <c r="Q6" s="222"/>
      <c r="R6" s="223">
        <f aca="true" t="shared" si="11" ref="R6:R18">IF(K6&gt;1,VLOOKUP(K6,$B$2:$C$67,2),"")</f>
      </c>
      <c r="S6" s="230">
        <f t="shared" si="2"/>
      </c>
      <c r="T6" s="230">
        <f t="shared" si="3"/>
      </c>
      <c r="U6" s="230">
        <f t="shared" si="4"/>
      </c>
      <c r="V6" s="230">
        <f t="shared" si="5"/>
      </c>
      <c r="W6" s="231">
        <f t="shared" si="6"/>
      </c>
      <c r="Y6" s="95">
        <v>0</v>
      </c>
      <c r="Z6" s="114" t="e">
        <f>VLOOKUP('Luccini 2019'!E36,$AG:$AM,2,FALSE)</f>
        <v>#N/A</v>
      </c>
      <c r="AA6" s="114" t="e">
        <f>VLOOKUP('Luccini 2019'!E36,$AG:$AM,3,FALSE)</f>
        <v>#N/A</v>
      </c>
      <c r="AB6" s="114" t="e">
        <f>VLOOKUP('Luccini 2019'!E36,$AG:$AM,4,FALSE)</f>
        <v>#N/A</v>
      </c>
      <c r="AC6" s="114" t="e">
        <f>VLOOKUP('Luccini 2019'!E36,$AG:$AM,5,FALSE)</f>
        <v>#N/A</v>
      </c>
      <c r="AD6" s="121" t="str">
        <f>(IF('Luccini 2019'!E36&lt;&gt;"",VLOOKUP('Luccini 2019'!E36,$AG:$AM,7,FALSE),"0"))</f>
        <v>0</v>
      </c>
      <c r="AE6" s="124"/>
      <c r="AF6" s="281">
        <v>5</v>
      </c>
      <c r="AG6" s="289" t="s">
        <v>810</v>
      </c>
      <c r="AH6" s="303">
        <v>6</v>
      </c>
      <c r="AI6" s="303">
        <v>3</v>
      </c>
      <c r="AJ6" s="303">
        <v>3</v>
      </c>
      <c r="AK6" s="303">
        <v>7</v>
      </c>
      <c r="AL6" s="311" t="s">
        <v>852</v>
      </c>
      <c r="AM6" s="318">
        <v>120000</v>
      </c>
      <c r="AN6" s="384"/>
      <c r="AO6" s="106"/>
      <c r="AP6" s="106">
        <f t="shared" si="0"/>
      </c>
      <c r="AQ6" s="107">
        <f t="shared" si="1"/>
      </c>
      <c r="AR6" s="108">
        <f>HLOOKUP('Luccini 2019'!$K$24,$AT$2:$BS$10,6,FALSE)</f>
        <v>0</v>
      </c>
      <c r="AS6" s="105"/>
      <c r="AT6" s="129" t="s">
        <v>810</v>
      </c>
      <c r="AU6" s="129"/>
      <c r="AV6" s="129"/>
      <c r="AW6" s="98" t="s">
        <v>811</v>
      </c>
      <c r="AX6" s="98" t="s">
        <v>812</v>
      </c>
      <c r="AY6" s="129" t="s">
        <v>813</v>
      </c>
      <c r="AZ6" s="129" t="s">
        <v>849</v>
      </c>
      <c r="BA6" s="98" t="s">
        <v>814</v>
      </c>
      <c r="BB6" s="129" t="s">
        <v>815</v>
      </c>
      <c r="BC6" s="129" t="s">
        <v>898</v>
      </c>
      <c r="BD6" s="129"/>
      <c r="BE6" s="129" t="s">
        <v>817</v>
      </c>
      <c r="BF6" s="129" t="s">
        <v>818</v>
      </c>
      <c r="BG6" s="129" t="s">
        <v>819</v>
      </c>
      <c r="BH6" s="129"/>
      <c r="BI6" s="129" t="s">
        <v>820</v>
      </c>
      <c r="BJ6" s="129" t="s">
        <v>821</v>
      </c>
      <c r="BK6" s="129" t="s">
        <v>822</v>
      </c>
      <c r="BL6" s="129"/>
      <c r="BM6" s="129" t="s">
        <v>823</v>
      </c>
      <c r="BN6" s="129" t="s">
        <v>826</v>
      </c>
      <c r="BO6" s="129" t="s">
        <v>824</v>
      </c>
      <c r="BP6" s="129" t="s">
        <v>825</v>
      </c>
      <c r="BQ6" s="129" t="s">
        <v>827</v>
      </c>
      <c r="BR6" s="129"/>
      <c r="BS6" s="129" t="s">
        <v>828</v>
      </c>
      <c r="BT6" s="111"/>
    </row>
    <row r="7" spans="2:72" ht="18" customHeight="1">
      <c r="B7" s="276">
        <v>6</v>
      </c>
      <c r="C7" s="272" t="s">
        <v>474</v>
      </c>
      <c r="D7" s="240" t="s">
        <v>671</v>
      </c>
      <c r="F7" s="219">
        <f t="shared" si="7"/>
        <v>0</v>
      </c>
      <c r="G7" s="220">
        <f t="shared" si="8"/>
        <v>0</v>
      </c>
      <c r="H7" s="220">
        <f t="shared" si="9"/>
        <v>0</v>
      </c>
      <c r="I7" s="221">
        <f t="shared" si="10"/>
        <v>0</v>
      </c>
      <c r="J7" s="222"/>
      <c r="K7" s="226">
        <v>1</v>
      </c>
      <c r="L7" s="227">
        <v>0</v>
      </c>
      <c r="M7" s="227">
        <v>0</v>
      </c>
      <c r="N7" s="227">
        <v>0</v>
      </c>
      <c r="O7" s="227">
        <v>0</v>
      </c>
      <c r="P7" s="228">
        <v>0</v>
      </c>
      <c r="Q7" s="222"/>
      <c r="R7" s="229">
        <f t="shared" si="11"/>
      </c>
      <c r="S7" s="230">
        <f t="shared" si="2"/>
      </c>
      <c r="T7" s="230">
        <f t="shared" si="3"/>
      </c>
      <c r="U7" s="230">
        <f t="shared" si="4"/>
      </c>
      <c r="V7" s="230">
        <f t="shared" si="5"/>
      </c>
      <c r="W7" s="231">
        <f t="shared" si="6"/>
      </c>
      <c r="Y7" s="95">
        <v>0</v>
      </c>
      <c r="Z7" s="114" t="e">
        <f>VLOOKUP('Luccini 2019'!E37,$AG:$AM,2,FALSE)</f>
        <v>#N/A</v>
      </c>
      <c r="AA7" s="114" t="e">
        <f>VLOOKUP('Luccini 2019'!E37,$AG:$AM,3,FALSE)</f>
        <v>#N/A</v>
      </c>
      <c r="AB7" s="114" t="e">
        <f>VLOOKUP('Luccini 2019'!E37,$AG:$AM,4,FALSE)</f>
        <v>#N/A</v>
      </c>
      <c r="AC7" s="114" t="e">
        <f>VLOOKUP('Luccini 2019'!E37,$AG:$AM,5,FALSE)</f>
        <v>#N/A</v>
      </c>
      <c r="AD7" s="121" t="str">
        <f>(IF('Luccini 2019'!E37&lt;&gt;"",VLOOKUP('Luccini 2019'!E37,$AG:$AM,7,FALSE),"0"))</f>
        <v>0</v>
      </c>
      <c r="AE7" s="124"/>
      <c r="AF7" s="281">
        <v>6</v>
      </c>
      <c r="AG7" s="288" t="s">
        <v>739</v>
      </c>
      <c r="AH7" s="302">
        <v>6</v>
      </c>
      <c r="AI7" s="302">
        <v>3</v>
      </c>
      <c r="AJ7" s="302">
        <v>2</v>
      </c>
      <c r="AK7" s="302">
        <v>7</v>
      </c>
      <c r="AL7" s="310" t="s">
        <v>474</v>
      </c>
      <c r="AM7" s="317">
        <v>70000</v>
      </c>
      <c r="AN7" s="385" t="s">
        <v>472</v>
      </c>
      <c r="AO7" s="106"/>
      <c r="AP7" s="106">
        <f t="shared" si="0"/>
      </c>
      <c r="AQ7" s="107">
        <f t="shared" si="1"/>
      </c>
      <c r="AR7" s="108">
        <f>HLOOKUP('Luccini 2019'!$K$24,$AT$2:$BS$10,7,FALSE)</f>
        <v>0</v>
      </c>
      <c r="AS7" s="105"/>
      <c r="AT7" s="129"/>
      <c r="AU7" s="129"/>
      <c r="AV7" s="129"/>
      <c r="AW7" s="129"/>
      <c r="AX7" s="98" t="s">
        <v>829</v>
      </c>
      <c r="AY7" s="129" t="s">
        <v>830</v>
      </c>
      <c r="AZ7" s="129"/>
      <c r="BA7" s="98" t="s">
        <v>831</v>
      </c>
      <c r="BB7" s="129"/>
      <c r="BC7" s="129" t="s">
        <v>816</v>
      </c>
      <c r="BD7" s="129"/>
      <c r="BE7" s="129"/>
      <c r="BF7" s="98" t="s">
        <v>833</v>
      </c>
      <c r="BG7" s="129"/>
      <c r="BH7" s="136"/>
      <c r="BI7" s="129" t="s">
        <v>834</v>
      </c>
      <c r="BJ7" s="129" t="s">
        <v>835</v>
      </c>
      <c r="BK7" s="129"/>
      <c r="BL7" s="129"/>
      <c r="BM7" s="129" t="s">
        <v>836</v>
      </c>
      <c r="BN7" s="98" t="s">
        <v>838</v>
      </c>
      <c r="BO7" s="129" t="s">
        <v>837</v>
      </c>
      <c r="BP7" s="129"/>
      <c r="BQ7" s="98" t="s">
        <v>839</v>
      </c>
      <c r="BR7" s="129"/>
      <c r="BS7" s="129" t="s">
        <v>840</v>
      </c>
      <c r="BT7" s="111"/>
    </row>
    <row r="8" spans="2:72" ht="18" customHeight="1">
      <c r="B8" s="276">
        <v>7</v>
      </c>
      <c r="C8" s="272" t="s">
        <v>122</v>
      </c>
      <c r="D8" s="240" t="s">
        <v>671</v>
      </c>
      <c r="F8" s="219">
        <f t="shared" si="7"/>
        <v>0</v>
      </c>
      <c r="G8" s="220">
        <f t="shared" si="8"/>
        <v>0</v>
      </c>
      <c r="H8" s="220">
        <f t="shared" si="9"/>
        <v>0</v>
      </c>
      <c r="I8" s="221">
        <f t="shared" si="10"/>
        <v>0</v>
      </c>
      <c r="J8" s="222"/>
      <c r="K8" s="226">
        <v>1</v>
      </c>
      <c r="L8" s="227">
        <v>1</v>
      </c>
      <c r="M8" s="227">
        <v>1</v>
      </c>
      <c r="N8" s="227">
        <v>0</v>
      </c>
      <c r="O8" s="227">
        <v>0</v>
      </c>
      <c r="P8" s="228">
        <v>0</v>
      </c>
      <c r="Q8" s="222"/>
      <c r="R8" s="229">
        <f t="shared" si="11"/>
      </c>
      <c r="S8" s="230">
        <f t="shared" si="2"/>
      </c>
      <c r="T8" s="230">
        <f t="shared" si="3"/>
      </c>
      <c r="U8" s="230">
        <f t="shared" si="4"/>
      </c>
      <c r="V8" s="230">
        <f t="shared" si="5"/>
      </c>
      <c r="W8" s="231">
        <f t="shared" si="6"/>
      </c>
      <c r="Y8" s="95">
        <v>0</v>
      </c>
      <c r="Z8" s="114" t="e">
        <f>VLOOKUP('Luccini 2019'!E38,$AG:$AM,2,FALSE)</f>
        <v>#N/A</v>
      </c>
      <c r="AA8" s="114" t="e">
        <f>VLOOKUP('Luccini 2019'!E38,$AG:$AM,3,FALSE)</f>
        <v>#N/A</v>
      </c>
      <c r="AB8" s="114" t="e">
        <f>VLOOKUP('Luccini 2019'!E38,$AG:$AM,4,FALSE)</f>
        <v>#N/A</v>
      </c>
      <c r="AC8" s="114" t="e">
        <f>VLOOKUP('Luccini 2019'!E38,$AG:$AM,5,FALSE)</f>
        <v>#N/A</v>
      </c>
      <c r="AD8" s="121" t="str">
        <f>(IF('Luccini 2019'!E38&lt;&gt;"",VLOOKUP('Luccini 2019'!E38,$AG:$AM,7,FALSE),"0"))</f>
        <v>0</v>
      </c>
      <c r="AE8" s="124"/>
      <c r="AF8" s="281">
        <v>7</v>
      </c>
      <c r="AG8" s="288" t="s">
        <v>764</v>
      </c>
      <c r="AH8" s="302">
        <v>7</v>
      </c>
      <c r="AI8" s="302">
        <v>3</v>
      </c>
      <c r="AJ8" s="302">
        <v>3</v>
      </c>
      <c r="AK8" s="302">
        <v>8</v>
      </c>
      <c r="AL8" s="310" t="s">
        <v>475</v>
      </c>
      <c r="AM8" s="317">
        <v>140000</v>
      </c>
      <c r="AN8" s="386"/>
      <c r="AO8" s="106"/>
      <c r="AP8" s="106">
        <f t="shared" si="0"/>
      </c>
      <c r="AQ8" s="107">
        <f t="shared" si="1"/>
      </c>
      <c r="AR8" s="108">
        <f>HLOOKUP('Luccini 2019'!$K$24,$AT$2:$BS$10,8,FALSE)</f>
        <v>0</v>
      </c>
      <c r="AS8" s="105"/>
      <c r="AT8" s="129"/>
      <c r="AU8" s="136"/>
      <c r="AV8" s="129"/>
      <c r="AW8" s="129"/>
      <c r="AX8" s="129" t="s">
        <v>841</v>
      </c>
      <c r="AY8" s="129"/>
      <c r="AZ8" s="129"/>
      <c r="BA8" s="129"/>
      <c r="BB8" s="129"/>
      <c r="BC8" s="98" t="s">
        <v>897</v>
      </c>
      <c r="BD8" s="129"/>
      <c r="BE8" s="129"/>
      <c r="BF8" s="136"/>
      <c r="BG8" s="136"/>
      <c r="BH8" s="129"/>
      <c r="BI8" s="129"/>
      <c r="BJ8" s="129" t="s">
        <v>843</v>
      </c>
      <c r="BK8" s="129"/>
      <c r="BL8" s="136"/>
      <c r="BM8" s="129" t="s">
        <v>844</v>
      </c>
      <c r="BN8" s="129"/>
      <c r="BO8" s="129"/>
      <c r="BP8" s="136"/>
      <c r="BQ8" s="136"/>
      <c r="BR8" s="137"/>
      <c r="BS8" s="129"/>
      <c r="BT8" s="111"/>
    </row>
    <row r="9" spans="2:72" ht="18" customHeight="1">
      <c r="B9" s="276">
        <v>8</v>
      </c>
      <c r="C9" s="272" t="s">
        <v>674</v>
      </c>
      <c r="D9" s="240" t="s">
        <v>671</v>
      </c>
      <c r="F9" s="219">
        <f t="shared" si="7"/>
        <v>0</v>
      </c>
      <c r="G9" s="220">
        <f t="shared" si="8"/>
        <v>0</v>
      </c>
      <c r="H9" s="220">
        <f t="shared" si="9"/>
        <v>0</v>
      </c>
      <c r="I9" s="221">
        <f t="shared" si="10"/>
        <v>0</v>
      </c>
      <c r="J9" s="222"/>
      <c r="K9" s="226">
        <v>1</v>
      </c>
      <c r="L9" s="227">
        <v>0</v>
      </c>
      <c r="M9" s="227">
        <v>0</v>
      </c>
      <c r="N9" s="227">
        <v>0</v>
      </c>
      <c r="O9" s="227">
        <v>0</v>
      </c>
      <c r="P9" s="228">
        <v>0</v>
      </c>
      <c r="Q9" s="222"/>
      <c r="R9" s="223">
        <f t="shared" si="11"/>
      </c>
      <c r="S9" s="230">
        <f t="shared" si="2"/>
      </c>
      <c r="T9" s="230">
        <f t="shared" si="3"/>
      </c>
      <c r="U9" s="230">
        <f t="shared" si="4"/>
      </c>
      <c r="V9" s="230">
        <f t="shared" si="5"/>
      </c>
      <c r="W9" s="231">
        <f t="shared" si="6"/>
      </c>
      <c r="Y9" s="95">
        <v>0</v>
      </c>
      <c r="Z9" s="114" t="e">
        <f>VLOOKUP('Luccini 2019'!E39,$AG:$AM,2,FALSE)</f>
        <v>#N/A</v>
      </c>
      <c r="AA9" s="114" t="e">
        <f>VLOOKUP('Luccini 2019'!E39,$AG:$AM,3,FALSE)</f>
        <v>#N/A</v>
      </c>
      <c r="AB9" s="114" t="e">
        <f>VLOOKUP('Luccini 2019'!E39,$AG:$AM,4,FALSE)</f>
        <v>#N/A</v>
      </c>
      <c r="AC9" s="114" t="e">
        <f>VLOOKUP('Luccini 2019'!E39,$AG:$AM,5,FALSE)</f>
        <v>#N/A</v>
      </c>
      <c r="AD9" s="121" t="str">
        <f>(IF('Luccini 2019'!E39&lt;&gt;"",VLOOKUP('Luccini 2019'!E39,$AG:$AM,7,FALSE),"0"))</f>
        <v>0</v>
      </c>
      <c r="AE9" s="124"/>
      <c r="AF9" s="281">
        <v>8</v>
      </c>
      <c r="AG9" s="288" t="s">
        <v>789</v>
      </c>
      <c r="AH9" s="302">
        <v>6</v>
      </c>
      <c r="AI9" s="302">
        <v>3</v>
      </c>
      <c r="AJ9" s="302">
        <v>3</v>
      </c>
      <c r="AK9" s="302">
        <v>8</v>
      </c>
      <c r="AL9" s="310" t="s">
        <v>476</v>
      </c>
      <c r="AM9" s="317">
        <v>100000</v>
      </c>
      <c r="AN9" s="387"/>
      <c r="AO9" s="106"/>
      <c r="AP9" s="106">
        <f t="shared" si="0"/>
      </c>
      <c r="AQ9" s="107">
        <f t="shared" si="1"/>
      </c>
      <c r="AR9" s="108">
        <f>HLOOKUP('Luccini 2019'!$K$24,$AT$2:$BS$10,9,FALSE)</f>
        <v>0</v>
      </c>
      <c r="AS9" s="105"/>
      <c r="AT9" s="129"/>
      <c r="AU9" s="129"/>
      <c r="AV9" s="129"/>
      <c r="AW9" s="129"/>
      <c r="AX9" s="129" t="s">
        <v>845</v>
      </c>
      <c r="AY9" s="136"/>
      <c r="AZ9" s="129"/>
      <c r="BA9" s="129"/>
      <c r="BB9" s="136"/>
      <c r="BC9" s="98" t="s">
        <v>832</v>
      </c>
      <c r="BD9" s="129"/>
      <c r="BE9" s="129"/>
      <c r="BF9" s="129"/>
      <c r="BG9" s="137"/>
      <c r="BH9" s="129"/>
      <c r="BI9" s="129"/>
      <c r="BJ9" s="129"/>
      <c r="BK9" s="129"/>
      <c r="BL9" s="129"/>
      <c r="BM9" s="136"/>
      <c r="BN9" s="129"/>
      <c r="BO9" s="129"/>
      <c r="BP9" s="129"/>
      <c r="BQ9" s="129"/>
      <c r="BR9" s="129"/>
      <c r="BS9" s="129"/>
      <c r="BT9" s="111"/>
    </row>
    <row r="10" spans="2:72" ht="18" customHeight="1">
      <c r="B10" s="276">
        <v>9</v>
      </c>
      <c r="C10" s="272" t="s">
        <v>675</v>
      </c>
      <c r="D10" s="240" t="s">
        <v>671</v>
      </c>
      <c r="F10" s="219">
        <f t="shared" si="7"/>
        <v>0</v>
      </c>
      <c r="G10" s="220">
        <f t="shared" si="8"/>
        <v>0</v>
      </c>
      <c r="H10" s="220">
        <f t="shared" si="9"/>
        <v>0</v>
      </c>
      <c r="I10" s="221">
        <f t="shared" si="10"/>
        <v>0</v>
      </c>
      <c r="J10" s="222"/>
      <c r="K10" s="226">
        <v>1</v>
      </c>
      <c r="L10" s="227">
        <v>1</v>
      </c>
      <c r="M10" s="227">
        <v>0</v>
      </c>
      <c r="N10" s="227">
        <v>0</v>
      </c>
      <c r="O10" s="227">
        <v>0</v>
      </c>
      <c r="P10" s="228">
        <v>0</v>
      </c>
      <c r="Q10" s="222"/>
      <c r="R10" s="229">
        <f t="shared" si="11"/>
      </c>
      <c r="S10" s="230">
        <f t="shared" si="2"/>
      </c>
      <c r="T10" s="230">
        <f t="shared" si="3"/>
      </c>
      <c r="U10" s="230">
        <f t="shared" si="4"/>
      </c>
      <c r="V10" s="230">
        <f t="shared" si="5"/>
      </c>
      <c r="W10" s="231">
        <f t="shared" si="6"/>
      </c>
      <c r="Y10" s="95">
        <v>0</v>
      </c>
      <c r="Z10" s="114" t="e">
        <f>VLOOKUP('Luccini 2019'!E40,$AG:$AM,2,FALSE)</f>
        <v>#N/A</v>
      </c>
      <c r="AA10" s="114" t="e">
        <f>VLOOKUP('Luccini 2019'!E40,$AG:$AM,3,FALSE)</f>
        <v>#N/A</v>
      </c>
      <c r="AB10" s="114" t="e">
        <f>VLOOKUP('Luccini 2019'!E40,$AG:$AM,4,FALSE)</f>
        <v>#N/A</v>
      </c>
      <c r="AC10" s="114" t="e">
        <f>VLOOKUP('Luccini 2019'!E40,$AG:$AM,5,FALSE)</f>
        <v>#N/A</v>
      </c>
      <c r="AD10" s="121" t="str">
        <f>(IF('Luccini 2019'!E40&lt;&gt;"",VLOOKUP('Luccini 2019'!E40,$AG:$AM,7,FALSE),"0"))</f>
        <v>0</v>
      </c>
      <c r="AE10" s="124"/>
      <c r="AF10" s="281">
        <v>9</v>
      </c>
      <c r="AG10" s="290" t="s">
        <v>740</v>
      </c>
      <c r="AH10" s="301">
        <v>6</v>
      </c>
      <c r="AI10" s="301">
        <v>3</v>
      </c>
      <c r="AJ10" s="301">
        <v>3</v>
      </c>
      <c r="AK10" s="301">
        <v>8</v>
      </c>
      <c r="AL10" s="309" t="s">
        <v>378</v>
      </c>
      <c r="AM10" s="316">
        <v>90000</v>
      </c>
      <c r="AN10" s="388" t="s">
        <v>504</v>
      </c>
      <c r="AO10" s="106"/>
      <c r="AP10" s="106">
        <f t="shared" si="0"/>
      </c>
      <c r="AQ10" s="107">
        <f t="shared" si="1"/>
      </c>
      <c r="AR10" s="108">
        <f>HLOOKUP('Luccini 2019'!$K$24,$AT$2:$BS$10,9,FALSE)</f>
        <v>0</v>
      </c>
      <c r="AS10" s="105"/>
      <c r="AT10" s="129"/>
      <c r="AU10" s="136"/>
      <c r="AV10" s="129"/>
      <c r="AW10" s="129"/>
      <c r="AX10" s="129"/>
      <c r="AY10" s="136"/>
      <c r="AZ10" s="98"/>
      <c r="BA10" s="129"/>
      <c r="BB10" s="129"/>
      <c r="BC10" s="129" t="s">
        <v>842</v>
      </c>
      <c r="BD10" s="129"/>
      <c r="BE10" s="137"/>
      <c r="BF10" s="136"/>
      <c r="BG10" s="129"/>
      <c r="BH10" s="129"/>
      <c r="BI10" s="137"/>
      <c r="BJ10" s="129"/>
      <c r="BK10" s="98"/>
      <c r="BL10" s="129"/>
      <c r="BM10" s="129"/>
      <c r="BN10" s="137"/>
      <c r="BO10" s="129"/>
      <c r="BP10" s="129"/>
      <c r="BQ10" s="129"/>
      <c r="BR10" s="129"/>
      <c r="BS10" s="129"/>
      <c r="BT10" s="111"/>
    </row>
    <row r="11" spans="2:72" ht="18" customHeight="1">
      <c r="B11" s="276">
        <v>10</v>
      </c>
      <c r="C11" s="272" t="s">
        <v>676</v>
      </c>
      <c r="D11" s="240" t="s">
        <v>671</v>
      </c>
      <c r="F11" s="219">
        <f t="shared" si="7"/>
        <v>0</v>
      </c>
      <c r="G11" s="220">
        <f t="shared" si="8"/>
        <v>0</v>
      </c>
      <c r="H11" s="220">
        <f t="shared" si="9"/>
        <v>0</v>
      </c>
      <c r="I11" s="221">
        <f t="shared" si="10"/>
        <v>0</v>
      </c>
      <c r="J11" s="222"/>
      <c r="K11" s="226">
        <v>0</v>
      </c>
      <c r="L11" s="227">
        <v>0</v>
      </c>
      <c r="M11" s="227">
        <v>0</v>
      </c>
      <c r="N11" s="227">
        <v>0</v>
      </c>
      <c r="O11" s="227">
        <v>0</v>
      </c>
      <c r="P11" s="228">
        <v>0</v>
      </c>
      <c r="Q11" s="222"/>
      <c r="R11" s="229">
        <f t="shared" si="11"/>
      </c>
      <c r="S11" s="230">
        <f t="shared" si="2"/>
      </c>
      <c r="T11" s="230">
        <f t="shared" si="3"/>
      </c>
      <c r="U11" s="230">
        <f t="shared" si="4"/>
      </c>
      <c r="V11" s="230">
        <f t="shared" si="5"/>
      </c>
      <c r="W11" s="231">
        <f t="shared" si="6"/>
      </c>
      <c r="Y11" s="95"/>
      <c r="Z11" s="114"/>
      <c r="AA11" s="114"/>
      <c r="AB11" s="114"/>
      <c r="AC11" s="114"/>
      <c r="AD11" s="121"/>
      <c r="AE11" s="124"/>
      <c r="AF11" s="281">
        <v>10</v>
      </c>
      <c r="AG11" s="291" t="s">
        <v>765</v>
      </c>
      <c r="AH11" s="302">
        <v>5</v>
      </c>
      <c r="AI11" s="302">
        <v>4</v>
      </c>
      <c r="AJ11" s="302">
        <v>3</v>
      </c>
      <c r="AK11" s="302">
        <v>9</v>
      </c>
      <c r="AL11" s="310" t="s">
        <v>380</v>
      </c>
      <c r="AM11" s="317">
        <v>130000</v>
      </c>
      <c r="AN11" s="389"/>
      <c r="AO11" s="106"/>
      <c r="AP11" s="106"/>
      <c r="AQ11" s="107"/>
      <c r="AR11" s="108"/>
      <c r="AS11" s="105"/>
      <c r="AT11" s="129"/>
      <c r="AU11" s="129"/>
      <c r="AV11" s="136"/>
      <c r="AW11" s="129"/>
      <c r="AX11" s="136"/>
      <c r="AY11" s="137"/>
      <c r="AZ11" s="98"/>
      <c r="BA11" s="129"/>
      <c r="BB11" s="129"/>
      <c r="BC11" s="136"/>
      <c r="BD11" s="139"/>
      <c r="BE11" s="129"/>
      <c r="BF11" s="129"/>
      <c r="BG11" s="129"/>
      <c r="BH11" s="129"/>
      <c r="BI11" s="129"/>
      <c r="BJ11" s="137"/>
      <c r="BK11" s="129"/>
      <c r="BL11" s="129"/>
      <c r="BM11" s="129"/>
      <c r="BN11" s="129"/>
      <c r="BO11" s="129"/>
      <c r="BP11" s="129"/>
      <c r="BQ11" s="129"/>
      <c r="BR11" s="129"/>
      <c r="BS11" s="129"/>
      <c r="BT11" s="111"/>
    </row>
    <row r="12" spans="2:72" ht="18" customHeight="1">
      <c r="B12" s="276">
        <v>11</v>
      </c>
      <c r="C12" s="272" t="s">
        <v>677</v>
      </c>
      <c r="D12" s="240" t="s">
        <v>671</v>
      </c>
      <c r="F12" s="219">
        <f t="shared" si="7"/>
        <v>0</v>
      </c>
      <c r="G12" s="220">
        <f t="shared" si="8"/>
        <v>0</v>
      </c>
      <c r="H12" s="220">
        <f t="shared" si="9"/>
        <v>0</v>
      </c>
      <c r="I12" s="221">
        <f t="shared" si="10"/>
        <v>0</v>
      </c>
      <c r="J12" s="222"/>
      <c r="K12" s="226">
        <v>0</v>
      </c>
      <c r="L12" s="227">
        <v>0</v>
      </c>
      <c r="M12" s="227">
        <v>0</v>
      </c>
      <c r="N12" s="227">
        <v>0</v>
      </c>
      <c r="O12" s="227">
        <v>0</v>
      </c>
      <c r="P12" s="228">
        <v>0</v>
      </c>
      <c r="Q12" s="222"/>
      <c r="R12" s="223">
        <f t="shared" si="11"/>
      </c>
      <c r="S12" s="230">
        <f t="shared" si="2"/>
      </c>
      <c r="T12" s="230">
        <f t="shared" si="3"/>
      </c>
      <c r="U12" s="230">
        <f t="shared" si="4"/>
      </c>
      <c r="V12" s="230">
        <f t="shared" si="5"/>
      </c>
      <c r="W12" s="231">
        <f t="shared" si="6"/>
      </c>
      <c r="Y12" s="95"/>
      <c r="Z12" s="114"/>
      <c r="AA12" s="114"/>
      <c r="AB12" s="114"/>
      <c r="AC12" s="114"/>
      <c r="AD12" s="121"/>
      <c r="AE12" s="124"/>
      <c r="AF12" s="281">
        <v>11</v>
      </c>
      <c r="AG12" s="289" t="s">
        <v>790</v>
      </c>
      <c r="AH12" s="303">
        <v>5</v>
      </c>
      <c r="AI12" s="303">
        <v>5</v>
      </c>
      <c r="AJ12" s="303">
        <v>2</v>
      </c>
      <c r="AK12" s="303">
        <v>8</v>
      </c>
      <c r="AL12" s="311" t="s">
        <v>66</v>
      </c>
      <c r="AM12" s="318">
        <v>180000</v>
      </c>
      <c r="AN12" s="390"/>
      <c r="AO12" s="106"/>
      <c r="AP12" s="106"/>
      <c r="AQ12" s="107"/>
      <c r="AR12" s="108"/>
      <c r="AS12" s="105"/>
      <c r="AT12" s="129"/>
      <c r="AU12" s="129"/>
      <c r="AV12" s="129"/>
      <c r="AW12" s="129"/>
      <c r="AX12" s="129"/>
      <c r="AY12" s="129"/>
      <c r="AZ12" s="98"/>
      <c r="BA12" s="129"/>
      <c r="BB12" s="137"/>
      <c r="BC12" s="129"/>
      <c r="BD12" s="98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98"/>
      <c r="BS12" s="129"/>
      <c r="BT12" s="111"/>
    </row>
    <row r="13" spans="2:72" ht="18" customHeight="1">
      <c r="B13" s="276">
        <v>12</v>
      </c>
      <c r="C13" s="272" t="s">
        <v>678</v>
      </c>
      <c r="D13" s="240" t="s">
        <v>671</v>
      </c>
      <c r="F13" s="219">
        <f t="shared" si="7"/>
        <v>0</v>
      </c>
      <c r="G13" s="220">
        <f t="shared" si="8"/>
        <v>0</v>
      </c>
      <c r="H13" s="220">
        <f t="shared" si="9"/>
        <v>0</v>
      </c>
      <c r="I13" s="221">
        <f t="shared" si="10"/>
        <v>0</v>
      </c>
      <c r="J13" s="222"/>
      <c r="K13" s="226">
        <v>0</v>
      </c>
      <c r="L13" s="227">
        <v>0</v>
      </c>
      <c r="M13" s="227">
        <v>0</v>
      </c>
      <c r="N13" s="227">
        <v>0</v>
      </c>
      <c r="O13" s="227">
        <v>0</v>
      </c>
      <c r="P13" s="228">
        <v>0</v>
      </c>
      <c r="Q13" s="222"/>
      <c r="R13" s="229">
        <f t="shared" si="11"/>
      </c>
      <c r="S13" s="230">
        <f t="shared" si="2"/>
      </c>
      <c r="T13" s="230">
        <f t="shared" si="3"/>
      </c>
      <c r="U13" s="230">
        <f t="shared" si="4"/>
      </c>
      <c r="V13" s="230">
        <f t="shared" si="5"/>
      </c>
      <c r="W13" s="231">
        <f t="shared" si="6"/>
      </c>
      <c r="Y13" s="95"/>
      <c r="Z13" s="114"/>
      <c r="AA13" s="114"/>
      <c r="AB13" s="114"/>
      <c r="AC13" s="114"/>
      <c r="AD13" s="121"/>
      <c r="AE13" s="124"/>
      <c r="AF13" s="281">
        <v>12</v>
      </c>
      <c r="AG13" s="290" t="s">
        <v>741</v>
      </c>
      <c r="AH13" s="304">
        <v>6</v>
      </c>
      <c r="AI13" s="304">
        <v>3</v>
      </c>
      <c r="AJ13" s="304">
        <v>3</v>
      </c>
      <c r="AK13" s="304">
        <v>7</v>
      </c>
      <c r="AL13" s="309" t="s">
        <v>380</v>
      </c>
      <c r="AM13" s="319">
        <v>70000</v>
      </c>
      <c r="AN13" s="382" t="s">
        <v>69</v>
      </c>
      <c r="AO13" s="106"/>
      <c r="AP13" s="106"/>
      <c r="AQ13" s="107"/>
      <c r="AR13" s="108"/>
      <c r="AS13" s="105"/>
      <c r="AT13" s="139"/>
      <c r="AU13" s="98"/>
      <c r="AV13" s="139"/>
      <c r="AW13" s="139"/>
      <c r="AX13" s="129"/>
      <c r="AY13" s="129"/>
      <c r="AZ13" s="129"/>
      <c r="BA13" s="129"/>
      <c r="BB13" s="129"/>
      <c r="BC13" s="129"/>
      <c r="BD13" s="98"/>
      <c r="BE13" s="129"/>
      <c r="BF13" s="129"/>
      <c r="BG13" s="129"/>
      <c r="BH13" s="98"/>
      <c r="BI13" s="129"/>
      <c r="BJ13" s="129"/>
      <c r="BK13" s="136"/>
      <c r="BL13" s="98"/>
      <c r="BM13" s="129"/>
      <c r="BN13" s="129"/>
      <c r="BO13" s="129"/>
      <c r="BP13" s="129"/>
      <c r="BQ13" s="129"/>
      <c r="BR13" s="98"/>
      <c r="BS13" s="129"/>
      <c r="BT13" s="111"/>
    </row>
    <row r="14" spans="2:72" ht="18" customHeight="1">
      <c r="B14" s="276">
        <v>13</v>
      </c>
      <c r="C14" s="272" t="s">
        <v>679</v>
      </c>
      <c r="D14" s="240" t="s">
        <v>671</v>
      </c>
      <c r="F14" s="219">
        <f t="shared" si="7"/>
        <v>0</v>
      </c>
      <c r="G14" s="220">
        <f t="shared" si="8"/>
        <v>0</v>
      </c>
      <c r="H14" s="220">
        <f t="shared" si="9"/>
        <v>0</v>
      </c>
      <c r="I14" s="221">
        <f t="shared" si="10"/>
        <v>0</v>
      </c>
      <c r="J14" s="222"/>
      <c r="K14" s="226">
        <v>0</v>
      </c>
      <c r="L14" s="227">
        <v>0</v>
      </c>
      <c r="M14" s="227">
        <v>0</v>
      </c>
      <c r="N14" s="227">
        <v>0</v>
      </c>
      <c r="O14" s="227">
        <v>0</v>
      </c>
      <c r="P14" s="228">
        <v>0</v>
      </c>
      <c r="Q14" s="222"/>
      <c r="R14" s="229">
        <f t="shared" si="11"/>
      </c>
      <c r="S14" s="230">
        <f t="shared" si="2"/>
      </c>
      <c r="T14" s="230">
        <f t="shared" si="3"/>
      </c>
      <c r="U14" s="230">
        <f t="shared" si="4"/>
      </c>
      <c r="V14" s="230">
        <f t="shared" si="5"/>
      </c>
      <c r="W14" s="231">
        <f t="shared" si="6"/>
      </c>
      <c r="Y14" s="95"/>
      <c r="Z14" s="114"/>
      <c r="AA14" s="114"/>
      <c r="AB14" s="114"/>
      <c r="AC14" s="114"/>
      <c r="AD14" s="121"/>
      <c r="AE14" s="124"/>
      <c r="AF14" s="281">
        <v>13</v>
      </c>
      <c r="AG14" s="291" t="s">
        <v>766</v>
      </c>
      <c r="AH14" s="305">
        <v>4</v>
      </c>
      <c r="AI14" s="305">
        <v>3</v>
      </c>
      <c r="AJ14" s="305">
        <v>2</v>
      </c>
      <c r="AK14" s="305">
        <v>9</v>
      </c>
      <c r="AL14" s="310" t="s">
        <v>382</v>
      </c>
      <c r="AM14" s="320">
        <v>100000</v>
      </c>
      <c r="AN14" s="383"/>
      <c r="AO14" s="106"/>
      <c r="AP14" s="106"/>
      <c r="AQ14" s="107"/>
      <c r="AR14" s="108"/>
      <c r="AS14" s="105"/>
      <c r="AT14" s="98"/>
      <c r="AU14" s="98"/>
      <c r="AV14" s="98"/>
      <c r="AW14" s="98"/>
      <c r="AX14" s="129"/>
      <c r="AY14" s="129"/>
      <c r="AZ14" s="129"/>
      <c r="BA14" s="139"/>
      <c r="BB14" s="98"/>
      <c r="BC14" s="129"/>
      <c r="BD14" s="98"/>
      <c r="BE14" s="98"/>
      <c r="BF14" s="129"/>
      <c r="BG14" s="98"/>
      <c r="BH14" s="98"/>
      <c r="BI14" s="129"/>
      <c r="BJ14" s="129"/>
      <c r="BK14" s="129"/>
      <c r="BL14" s="98"/>
      <c r="BM14" s="129"/>
      <c r="BN14" s="129"/>
      <c r="BO14" s="129"/>
      <c r="BP14" s="98"/>
      <c r="BQ14" s="129"/>
      <c r="BR14" s="98"/>
      <c r="BS14" s="129"/>
      <c r="BT14" s="111"/>
    </row>
    <row r="15" spans="2:72" ht="18" customHeight="1">
      <c r="B15" s="276">
        <v>14</v>
      </c>
      <c r="C15" s="272" t="s">
        <v>680</v>
      </c>
      <c r="D15" s="240" t="s">
        <v>671</v>
      </c>
      <c r="F15" s="219">
        <f t="shared" si="7"/>
        <v>0</v>
      </c>
      <c r="G15" s="220">
        <f t="shared" si="8"/>
        <v>0</v>
      </c>
      <c r="H15" s="220">
        <f t="shared" si="9"/>
        <v>0</v>
      </c>
      <c r="I15" s="221">
        <f t="shared" si="10"/>
        <v>0</v>
      </c>
      <c r="J15" s="222"/>
      <c r="K15" s="226">
        <v>0</v>
      </c>
      <c r="L15" s="227">
        <v>0</v>
      </c>
      <c r="M15" s="227">
        <v>1</v>
      </c>
      <c r="N15" s="227">
        <v>0</v>
      </c>
      <c r="O15" s="227">
        <v>0</v>
      </c>
      <c r="P15" s="228">
        <v>0</v>
      </c>
      <c r="Q15" s="222"/>
      <c r="R15" s="223">
        <f t="shared" si="11"/>
      </c>
      <c r="S15" s="230">
        <f t="shared" si="2"/>
      </c>
      <c r="T15" s="230">
        <f t="shared" si="3"/>
      </c>
      <c r="U15" s="230">
        <f t="shared" si="4"/>
      </c>
      <c r="V15" s="230">
        <f t="shared" si="5"/>
      </c>
      <c r="W15" s="231">
        <f t="shared" si="6"/>
      </c>
      <c r="Y15" s="95"/>
      <c r="Z15" s="114"/>
      <c r="AA15" s="114"/>
      <c r="AB15" s="114"/>
      <c r="AC15" s="114"/>
      <c r="AD15" s="121"/>
      <c r="AE15" s="124"/>
      <c r="AF15" s="281">
        <v>14</v>
      </c>
      <c r="AG15" s="291" t="s">
        <v>791</v>
      </c>
      <c r="AH15" s="305">
        <v>6</v>
      </c>
      <c r="AI15" s="305">
        <v>4</v>
      </c>
      <c r="AJ15" s="305">
        <v>2</v>
      </c>
      <c r="AK15" s="305">
        <v>9</v>
      </c>
      <c r="AL15" s="310" t="s">
        <v>853</v>
      </c>
      <c r="AM15" s="320">
        <v>160000</v>
      </c>
      <c r="AN15" s="383"/>
      <c r="AO15" s="106"/>
      <c r="AP15" s="106"/>
      <c r="AQ15" s="107"/>
      <c r="AR15" s="108"/>
      <c r="AS15" s="105"/>
      <c r="AT15" s="98"/>
      <c r="AU15" s="98"/>
      <c r="AV15" s="98"/>
      <c r="AW15" s="98"/>
      <c r="AX15" s="129"/>
      <c r="AY15" s="98"/>
      <c r="AZ15" s="98"/>
      <c r="BA15" s="98"/>
      <c r="BB15" s="98"/>
      <c r="BC15" s="129"/>
      <c r="BD15" s="129"/>
      <c r="BE15" s="98"/>
      <c r="BF15" s="98"/>
      <c r="BG15" s="129"/>
      <c r="BH15" s="98"/>
      <c r="BI15" s="98"/>
      <c r="BJ15" s="139"/>
      <c r="BK15" s="129"/>
      <c r="BL15" s="98"/>
      <c r="BM15" s="129"/>
      <c r="BN15" s="129"/>
      <c r="BO15" s="98"/>
      <c r="BP15" s="98"/>
      <c r="BQ15" s="98"/>
      <c r="BR15" s="98"/>
      <c r="BS15" s="98"/>
      <c r="BT15" s="111"/>
    </row>
    <row r="16" spans="2:72" ht="18" customHeight="1">
      <c r="B16" s="276">
        <v>15</v>
      </c>
      <c r="C16" s="272" t="s">
        <v>681</v>
      </c>
      <c r="D16" s="240" t="s">
        <v>671</v>
      </c>
      <c r="F16" s="219">
        <f t="shared" si="7"/>
        <v>0</v>
      </c>
      <c r="G16" s="220">
        <f t="shared" si="8"/>
        <v>0</v>
      </c>
      <c r="H16" s="220">
        <f t="shared" si="9"/>
        <v>0</v>
      </c>
      <c r="I16" s="221">
        <f t="shared" si="10"/>
        <v>0</v>
      </c>
      <c r="J16" s="222"/>
      <c r="K16" s="226">
        <v>1</v>
      </c>
      <c r="L16" s="227">
        <v>0</v>
      </c>
      <c r="M16" s="227">
        <v>0</v>
      </c>
      <c r="N16" s="227">
        <v>0</v>
      </c>
      <c r="O16" s="227">
        <v>0</v>
      </c>
      <c r="P16" s="228">
        <v>0</v>
      </c>
      <c r="Q16" s="222"/>
      <c r="R16" s="229">
        <f t="shared" si="11"/>
      </c>
      <c r="S16" s="230">
        <f t="shared" si="2"/>
      </c>
      <c r="T16" s="230">
        <f t="shared" si="3"/>
      </c>
      <c r="U16" s="230">
        <f t="shared" si="4"/>
      </c>
      <c r="V16" s="230">
        <f t="shared" si="5"/>
      </c>
      <c r="W16" s="231">
        <f t="shared" si="6"/>
      </c>
      <c r="Y16" s="95"/>
      <c r="Z16" s="114"/>
      <c r="AA16" s="114"/>
      <c r="AB16" s="114"/>
      <c r="AC16" s="114"/>
      <c r="AD16" s="121"/>
      <c r="AE16" s="124"/>
      <c r="AF16" s="281">
        <v>15</v>
      </c>
      <c r="AG16" s="289" t="s">
        <v>811</v>
      </c>
      <c r="AH16" s="303">
        <v>5</v>
      </c>
      <c r="AI16" s="303">
        <v>5</v>
      </c>
      <c r="AJ16" s="303">
        <v>2</v>
      </c>
      <c r="AK16" s="303">
        <v>8</v>
      </c>
      <c r="AL16" s="311" t="s">
        <v>66</v>
      </c>
      <c r="AM16" s="318">
        <v>180000</v>
      </c>
      <c r="AN16" s="384"/>
      <c r="AO16" s="106"/>
      <c r="AP16" s="106"/>
      <c r="AQ16" s="107"/>
      <c r="AR16" s="108"/>
      <c r="AS16" s="105"/>
      <c r="AT16" s="98"/>
      <c r="AV16" s="98"/>
      <c r="AW16" s="98"/>
      <c r="AX16" s="129"/>
      <c r="AY16" s="129"/>
      <c r="AZ16" s="129"/>
      <c r="BA16" s="98"/>
      <c r="BB16" s="98"/>
      <c r="BC16" s="129"/>
      <c r="BD16" s="129"/>
      <c r="BE16" s="98"/>
      <c r="BF16" s="98"/>
      <c r="BG16" s="98"/>
      <c r="BH16" s="129"/>
      <c r="BI16" s="98"/>
      <c r="BJ16" s="98"/>
      <c r="BK16" s="98"/>
      <c r="BL16" s="129"/>
      <c r="BM16" s="98"/>
      <c r="BN16" s="98"/>
      <c r="BO16" s="98"/>
      <c r="BP16" s="98"/>
      <c r="BQ16" s="98"/>
      <c r="BR16" s="98"/>
      <c r="BS16" s="98"/>
      <c r="BT16" s="111"/>
    </row>
    <row r="17" spans="2:72" ht="18" customHeight="1">
      <c r="B17" s="276">
        <v>16</v>
      </c>
      <c r="C17" s="272" t="s">
        <v>476</v>
      </c>
      <c r="D17" s="240" t="s">
        <v>671</v>
      </c>
      <c r="F17" s="219">
        <f t="shared" si="7"/>
        <v>0</v>
      </c>
      <c r="G17" s="220">
        <f t="shared" si="8"/>
        <v>0</v>
      </c>
      <c r="H17" s="220">
        <f t="shared" si="9"/>
        <v>0</v>
      </c>
      <c r="I17" s="221">
        <f t="shared" si="10"/>
        <v>0</v>
      </c>
      <c r="J17" s="222"/>
      <c r="K17" s="226">
        <v>1</v>
      </c>
      <c r="L17" s="227">
        <v>0</v>
      </c>
      <c r="M17" s="227">
        <v>0</v>
      </c>
      <c r="N17" s="227">
        <v>0</v>
      </c>
      <c r="O17" s="227">
        <v>0</v>
      </c>
      <c r="P17" s="228">
        <v>0</v>
      </c>
      <c r="Q17" s="222"/>
      <c r="R17" s="229">
        <f t="shared" si="11"/>
      </c>
      <c r="S17" s="230">
        <f t="shared" si="2"/>
      </c>
      <c r="T17" s="230">
        <f t="shared" si="3"/>
      </c>
      <c r="U17" s="230">
        <f t="shared" si="4"/>
      </c>
      <c r="V17" s="230">
        <f t="shared" si="5"/>
      </c>
      <c r="W17" s="231">
        <f t="shared" si="6"/>
      </c>
      <c r="Y17" s="95"/>
      <c r="Z17" s="114"/>
      <c r="AA17" s="114"/>
      <c r="AB17" s="114"/>
      <c r="AC17" s="114"/>
      <c r="AD17" s="121"/>
      <c r="AE17" s="124"/>
      <c r="AF17" s="281">
        <v>16</v>
      </c>
      <c r="AG17" s="288" t="s">
        <v>742</v>
      </c>
      <c r="AH17" s="302">
        <v>6</v>
      </c>
      <c r="AI17" s="302">
        <v>3</v>
      </c>
      <c r="AJ17" s="302">
        <v>3</v>
      </c>
      <c r="AK17" s="302">
        <v>8</v>
      </c>
      <c r="AL17" s="310" t="s">
        <v>380</v>
      </c>
      <c r="AM17" s="317">
        <v>80000</v>
      </c>
      <c r="AN17" s="385" t="s">
        <v>893</v>
      </c>
      <c r="AO17" s="106"/>
      <c r="AP17" s="106"/>
      <c r="AQ17" s="107"/>
      <c r="AR17" s="108"/>
      <c r="AS17" s="105"/>
      <c r="AV17" s="129"/>
      <c r="AW17" s="110"/>
      <c r="AX17" s="129"/>
      <c r="AY17" s="98"/>
      <c r="AZ17" s="129"/>
      <c r="BA17" s="98"/>
      <c r="BB17" s="98"/>
      <c r="BC17" s="129"/>
      <c r="BD17" s="109"/>
      <c r="BE17" s="98"/>
      <c r="BF17" s="98"/>
      <c r="BG17" s="129"/>
      <c r="BH17" s="129"/>
      <c r="BI17" s="98"/>
      <c r="BJ17" s="98"/>
      <c r="BK17" s="98"/>
      <c r="BL17" s="129"/>
      <c r="BM17" s="98"/>
      <c r="BN17" s="98"/>
      <c r="BO17" s="98"/>
      <c r="BP17" s="129"/>
      <c r="BQ17" s="98"/>
      <c r="BR17" s="129"/>
      <c r="BS17" s="98"/>
      <c r="BT17" s="111"/>
    </row>
    <row r="18" spans="2:72" ht="18" customHeight="1">
      <c r="B18" s="276">
        <v>17</v>
      </c>
      <c r="C18" s="238" t="s">
        <v>682</v>
      </c>
      <c r="D18" s="239"/>
      <c r="F18" s="232">
        <f t="shared" si="7"/>
        <v>0</v>
      </c>
      <c r="G18" s="233">
        <f t="shared" si="8"/>
        <v>0</v>
      </c>
      <c r="H18" s="233">
        <f t="shared" si="9"/>
        <v>0</v>
      </c>
      <c r="I18" s="234">
        <f t="shared" si="10"/>
        <v>0</v>
      </c>
      <c r="J18" s="222"/>
      <c r="K18" s="232">
        <v>1</v>
      </c>
      <c r="L18" s="233">
        <v>1</v>
      </c>
      <c r="M18" s="233">
        <v>0</v>
      </c>
      <c r="N18" s="233">
        <v>0</v>
      </c>
      <c r="O18" s="233">
        <v>0</v>
      </c>
      <c r="P18" s="234">
        <v>0</v>
      </c>
      <c r="Q18" s="222"/>
      <c r="R18" s="223">
        <f t="shared" si="11"/>
      </c>
      <c r="S18" s="235">
        <f t="shared" si="2"/>
      </c>
      <c r="T18" s="235">
        <f t="shared" si="3"/>
      </c>
      <c r="U18" s="235">
        <f t="shared" si="4"/>
      </c>
      <c r="V18" s="235">
        <f t="shared" si="5"/>
      </c>
      <c r="W18" s="236">
        <f t="shared" si="6"/>
      </c>
      <c r="Y18" s="95"/>
      <c r="Z18" s="114"/>
      <c r="AA18" s="114"/>
      <c r="AB18" s="114"/>
      <c r="AC18" s="114"/>
      <c r="AD18" s="121"/>
      <c r="AE18" s="124"/>
      <c r="AF18" s="281">
        <v>17</v>
      </c>
      <c r="AG18" s="288" t="s">
        <v>767</v>
      </c>
      <c r="AH18" s="302">
        <v>6</v>
      </c>
      <c r="AI18" s="302">
        <v>2</v>
      </c>
      <c r="AJ18" s="302">
        <v>3</v>
      </c>
      <c r="AK18" s="302">
        <v>7</v>
      </c>
      <c r="AL18" s="310" t="s">
        <v>854</v>
      </c>
      <c r="AM18" s="317">
        <v>70000</v>
      </c>
      <c r="AN18" s="386"/>
      <c r="AO18" s="106"/>
      <c r="AP18" s="106"/>
      <c r="AQ18" s="107"/>
      <c r="AR18" s="108"/>
      <c r="AS18" s="105"/>
      <c r="AT18" s="98"/>
      <c r="AU18" s="98"/>
      <c r="AV18" s="109"/>
      <c r="AW18" s="110"/>
      <c r="AX18" s="98"/>
      <c r="AY18" s="109"/>
      <c r="AZ18" s="109"/>
      <c r="BA18" s="98"/>
      <c r="BB18" s="98"/>
      <c r="BC18" s="98"/>
      <c r="BD18" s="109"/>
      <c r="BE18" s="98"/>
      <c r="BF18" s="98"/>
      <c r="BG18" s="129"/>
      <c r="BH18" s="129"/>
      <c r="BI18" s="110"/>
      <c r="BJ18" s="98"/>
      <c r="BK18" s="98"/>
      <c r="BL18" s="129"/>
      <c r="BM18" s="98"/>
      <c r="BN18" s="129"/>
      <c r="BO18" s="98"/>
      <c r="BP18" s="129"/>
      <c r="BQ18" s="93"/>
      <c r="BR18" s="145"/>
      <c r="BS18" s="98"/>
      <c r="BT18" s="111"/>
    </row>
    <row r="19" spans="2:72" ht="18" customHeight="1">
      <c r="B19" s="276">
        <v>18</v>
      </c>
      <c r="C19" s="272" t="s">
        <v>100</v>
      </c>
      <c r="D19" s="240" t="s">
        <v>683</v>
      </c>
      <c r="F19" s="3"/>
      <c r="G19" s="3"/>
      <c r="H19" s="3"/>
      <c r="I19" s="3"/>
      <c r="J19" s="3"/>
      <c r="K19" s="3" t="s">
        <v>733</v>
      </c>
      <c r="L19" s="3"/>
      <c r="M19" s="3"/>
      <c r="N19" s="3"/>
      <c r="O19" s="3"/>
      <c r="P19" s="3"/>
      <c r="Q19" s="3"/>
      <c r="R19" s="217" t="s">
        <v>734</v>
      </c>
      <c r="S19" s="3"/>
      <c r="T19" s="3"/>
      <c r="U19" s="3"/>
      <c r="V19" s="3"/>
      <c r="W19" s="3"/>
      <c r="Y19" s="95"/>
      <c r="Z19" s="95"/>
      <c r="AA19" s="95"/>
      <c r="AB19" s="95"/>
      <c r="AC19" s="95"/>
      <c r="AD19" s="95"/>
      <c r="AE19" s="96"/>
      <c r="AF19" s="281">
        <v>18</v>
      </c>
      <c r="AG19" s="288" t="s">
        <v>899</v>
      </c>
      <c r="AH19" s="302">
        <v>5</v>
      </c>
      <c r="AI19" s="302">
        <v>3</v>
      </c>
      <c r="AJ19" s="302">
        <v>3</v>
      </c>
      <c r="AK19" s="302">
        <v>9</v>
      </c>
      <c r="AL19" s="310" t="s">
        <v>855</v>
      </c>
      <c r="AM19" s="317">
        <v>50000</v>
      </c>
      <c r="AN19" s="386"/>
      <c r="AO19" s="106"/>
      <c r="AP19" s="106"/>
      <c r="AQ19" s="107"/>
      <c r="AR19" s="108"/>
      <c r="AS19" s="105"/>
      <c r="AV19" s="109"/>
      <c r="AW19" s="110"/>
      <c r="AX19" s="98"/>
      <c r="AY19" s="109"/>
      <c r="AZ19" s="109"/>
      <c r="BA19" s="98"/>
      <c r="BB19" s="98"/>
      <c r="BC19" s="98"/>
      <c r="BD19" s="109"/>
      <c r="BE19" s="98"/>
      <c r="BF19" s="98"/>
      <c r="BG19" s="109"/>
      <c r="BH19" s="110"/>
      <c r="BI19" s="110"/>
      <c r="BJ19" s="98"/>
      <c r="BK19" s="110"/>
      <c r="BL19" s="110"/>
      <c r="BM19" s="98"/>
      <c r="BN19" s="98"/>
      <c r="BO19" s="98"/>
      <c r="BP19" s="110"/>
      <c r="BQ19" s="109"/>
      <c r="BR19" s="110"/>
      <c r="BS19" s="98"/>
      <c r="BT19" s="111"/>
    </row>
    <row r="20" spans="2:72" ht="18" customHeight="1">
      <c r="B20" s="276">
        <v>19</v>
      </c>
      <c r="C20" s="272" t="s">
        <v>684</v>
      </c>
      <c r="D20" s="240" t="s">
        <v>683</v>
      </c>
      <c r="F20" s="3"/>
      <c r="G20" s="3"/>
      <c r="H20" s="3"/>
      <c r="I20" s="3"/>
      <c r="J20" s="3"/>
      <c r="K20" s="243">
        <f aca="true" t="shared" si="12" ref="K20:P35">IF(K3=59,1,(IF(K3=60,4,(IF(K3=61,3,(IF(K3=62,2,0)))))))</f>
        <v>0</v>
      </c>
      <c r="L20" s="243">
        <f t="shared" si="12"/>
        <v>0</v>
      </c>
      <c r="M20" s="243">
        <f t="shared" si="12"/>
        <v>0</v>
      </c>
      <c r="N20" s="243">
        <f t="shared" si="12"/>
        <v>0</v>
      </c>
      <c r="O20" s="243">
        <f t="shared" si="12"/>
        <v>0</v>
      </c>
      <c r="P20" s="244">
        <f t="shared" si="12"/>
        <v>0</v>
      </c>
      <c r="Q20" s="3"/>
      <c r="R20" s="247" t="str">
        <f>(IF(R3&lt;&gt;"",VLOOKUP(R3,$C$2:$D$67,2,FALSE),"0"))</f>
        <v>0</v>
      </c>
      <c r="S20" s="248" t="str">
        <f aca="true" t="shared" si="13" ref="S20:W29">(IF(S3&lt;&gt;"",VLOOKUP(S3,$C$2:$D$65,2,FALSE),"0"))</f>
        <v>0</v>
      </c>
      <c r="T20" s="248" t="str">
        <f t="shared" si="13"/>
        <v>0</v>
      </c>
      <c r="U20" s="248" t="str">
        <f t="shared" si="13"/>
        <v>0</v>
      </c>
      <c r="V20" s="248" t="str">
        <f t="shared" si="13"/>
        <v>0</v>
      </c>
      <c r="W20" s="249" t="str">
        <f t="shared" si="13"/>
        <v>0</v>
      </c>
      <c r="Y20" s="95"/>
      <c r="Z20" s="95"/>
      <c r="AA20" s="95"/>
      <c r="AB20" s="95"/>
      <c r="AC20" s="95"/>
      <c r="AD20" s="95"/>
      <c r="AE20" s="96"/>
      <c r="AF20" s="281">
        <v>19</v>
      </c>
      <c r="AG20" s="288" t="s">
        <v>792</v>
      </c>
      <c r="AH20" s="302">
        <v>7</v>
      </c>
      <c r="AI20" s="302">
        <v>3</v>
      </c>
      <c r="AJ20" s="302">
        <v>3</v>
      </c>
      <c r="AK20" s="302">
        <v>7</v>
      </c>
      <c r="AL20" s="310" t="s">
        <v>855</v>
      </c>
      <c r="AM20" s="317">
        <v>80000</v>
      </c>
      <c r="AN20" s="386"/>
      <c r="AO20" s="106"/>
      <c r="AP20" s="103"/>
      <c r="AQ20" s="121"/>
      <c r="AR20" s="108"/>
      <c r="AS20" s="105"/>
      <c r="AV20" s="109"/>
      <c r="AW20" s="110"/>
      <c r="AX20" s="98"/>
      <c r="AY20" s="109"/>
      <c r="AZ20" s="109"/>
      <c r="BA20" s="110"/>
      <c r="BB20" s="98"/>
      <c r="BC20" s="98"/>
      <c r="BD20" s="109"/>
      <c r="BE20" s="109"/>
      <c r="BF20" s="98"/>
      <c r="BG20" s="109"/>
      <c r="BH20" s="110"/>
      <c r="BI20" s="110"/>
      <c r="BJ20" s="98"/>
      <c r="BK20" s="110"/>
      <c r="BL20" s="110"/>
      <c r="BM20" s="98"/>
      <c r="BN20" s="109"/>
      <c r="BO20" s="98"/>
      <c r="BP20" s="110"/>
      <c r="BQ20" s="109"/>
      <c r="BR20" s="110"/>
      <c r="BS20" s="98"/>
      <c r="BT20" s="111"/>
    </row>
    <row r="21" spans="2:72" ht="18" customHeight="1">
      <c r="B21" s="276">
        <v>20</v>
      </c>
      <c r="C21" s="272" t="s">
        <v>685</v>
      </c>
      <c r="D21" s="240" t="s">
        <v>683</v>
      </c>
      <c r="F21" s="3"/>
      <c r="G21" s="3"/>
      <c r="H21" s="3"/>
      <c r="I21" s="3"/>
      <c r="J21" s="3"/>
      <c r="K21" s="243">
        <f t="shared" si="12"/>
        <v>0</v>
      </c>
      <c r="L21" s="243">
        <f t="shared" si="12"/>
        <v>0</v>
      </c>
      <c r="M21" s="243">
        <f t="shared" si="12"/>
        <v>0</v>
      </c>
      <c r="N21" s="243">
        <f t="shared" si="12"/>
        <v>0</v>
      </c>
      <c r="O21" s="243">
        <f t="shared" si="12"/>
        <v>0</v>
      </c>
      <c r="P21" s="244">
        <f t="shared" si="12"/>
        <v>0</v>
      </c>
      <c r="Q21" s="3"/>
      <c r="R21" s="250" t="str">
        <f>(IF(R4&lt;&gt;"",VLOOKUP(R4,$C$2:$D$67,2,FALSE),"0"))</f>
        <v>0</v>
      </c>
      <c r="S21" s="251" t="str">
        <f t="shared" si="13"/>
        <v>0</v>
      </c>
      <c r="T21" s="251" t="str">
        <f t="shared" si="13"/>
        <v>0</v>
      </c>
      <c r="U21" s="251" t="str">
        <f t="shared" si="13"/>
        <v>0</v>
      </c>
      <c r="V21" s="251" t="str">
        <f t="shared" si="13"/>
        <v>0</v>
      </c>
      <c r="W21" s="252" t="str">
        <f t="shared" si="13"/>
        <v>0</v>
      </c>
      <c r="Y21" s="95"/>
      <c r="Z21" s="95"/>
      <c r="AA21" s="95"/>
      <c r="AB21" s="95"/>
      <c r="AC21" s="95"/>
      <c r="AD21" s="95"/>
      <c r="AE21" s="96"/>
      <c r="AF21" s="281">
        <v>20</v>
      </c>
      <c r="AG21" s="288" t="s">
        <v>812</v>
      </c>
      <c r="AH21" s="302">
        <v>6</v>
      </c>
      <c r="AI21" s="302">
        <v>3</v>
      </c>
      <c r="AJ21" s="302">
        <v>4</v>
      </c>
      <c r="AK21" s="302">
        <v>8</v>
      </c>
      <c r="AL21" s="310" t="s">
        <v>855</v>
      </c>
      <c r="AM21" s="317">
        <v>100000</v>
      </c>
      <c r="AN21" s="386"/>
      <c r="AO21" s="103"/>
      <c r="AP21" s="103"/>
      <c r="AQ21" s="121"/>
      <c r="AR21" s="108"/>
      <c r="AS21" s="105"/>
      <c r="AT21" s="109"/>
      <c r="AU21" s="109"/>
      <c r="AV21" s="109"/>
      <c r="AW21" s="110"/>
      <c r="AX21" s="110"/>
      <c r="AY21" s="109"/>
      <c r="AZ21" s="109"/>
      <c r="BA21" s="110"/>
      <c r="BB21" s="98"/>
      <c r="BC21" s="98"/>
      <c r="BD21" s="109"/>
      <c r="BE21" s="109"/>
      <c r="BF21" s="98"/>
      <c r="BG21" s="109"/>
      <c r="BH21" s="110"/>
      <c r="BI21" s="110"/>
      <c r="BJ21" s="110"/>
      <c r="BK21" s="110"/>
      <c r="BL21" s="110"/>
      <c r="BM21" s="98"/>
      <c r="BN21" s="109"/>
      <c r="BO21" s="110"/>
      <c r="BP21" s="110"/>
      <c r="BQ21" s="109"/>
      <c r="BR21" s="110"/>
      <c r="BS21" s="98"/>
      <c r="BT21" s="111"/>
    </row>
    <row r="22" spans="2:72" ht="18" customHeight="1">
      <c r="B22" s="276">
        <v>21</v>
      </c>
      <c r="C22" s="272" t="s">
        <v>59</v>
      </c>
      <c r="D22" s="240" t="s">
        <v>683</v>
      </c>
      <c r="F22" s="3"/>
      <c r="G22" s="3"/>
      <c r="H22" s="3"/>
      <c r="I22" s="3"/>
      <c r="J22" s="3"/>
      <c r="K22" s="243">
        <f t="shared" si="12"/>
        <v>0</v>
      </c>
      <c r="L22" s="243">
        <f t="shared" si="12"/>
        <v>0</v>
      </c>
      <c r="M22" s="243">
        <f t="shared" si="12"/>
        <v>0</v>
      </c>
      <c r="N22" s="243">
        <f t="shared" si="12"/>
        <v>0</v>
      </c>
      <c r="O22" s="243">
        <f t="shared" si="12"/>
        <v>0</v>
      </c>
      <c r="P22" s="244">
        <f t="shared" si="12"/>
        <v>0</v>
      </c>
      <c r="Q22" s="3"/>
      <c r="R22" s="250" t="str">
        <f>(IF(R5&lt;&gt;"",VLOOKUP(R5,$C$2:$D$67,2,FALSE),"0"))</f>
        <v>0</v>
      </c>
      <c r="S22" s="251" t="str">
        <f t="shared" si="13"/>
        <v>0</v>
      </c>
      <c r="T22" s="251" t="str">
        <f t="shared" si="13"/>
        <v>0</v>
      </c>
      <c r="U22" s="251" t="str">
        <f t="shared" si="13"/>
        <v>0</v>
      </c>
      <c r="V22" s="251" t="str">
        <f t="shared" si="13"/>
        <v>0</v>
      </c>
      <c r="W22" s="252" t="str">
        <f t="shared" si="13"/>
        <v>0</v>
      </c>
      <c r="Y22" s="95"/>
      <c r="Z22" s="146">
        <v>7</v>
      </c>
      <c r="AA22" s="95"/>
      <c r="AB22" s="95"/>
      <c r="AC22" s="95"/>
      <c r="AD22" s="95"/>
      <c r="AE22" s="96"/>
      <c r="AF22" s="281">
        <v>21</v>
      </c>
      <c r="AG22" s="288" t="s">
        <v>829</v>
      </c>
      <c r="AH22" s="302">
        <v>4</v>
      </c>
      <c r="AI22" s="302">
        <v>5</v>
      </c>
      <c r="AJ22" s="302">
        <v>1</v>
      </c>
      <c r="AK22" s="302">
        <v>9</v>
      </c>
      <c r="AL22" s="310" t="s">
        <v>95</v>
      </c>
      <c r="AM22" s="317">
        <v>140000</v>
      </c>
      <c r="AN22" s="386"/>
      <c r="AO22" s="103"/>
      <c r="AP22" s="103"/>
      <c r="AQ22" s="121"/>
      <c r="AR22" s="108"/>
      <c r="AS22" s="105"/>
      <c r="AT22" s="109"/>
      <c r="AU22" s="109"/>
      <c r="AV22" s="109"/>
      <c r="AW22" s="110"/>
      <c r="AX22" s="110"/>
      <c r="AY22" s="109"/>
      <c r="AZ22" s="109"/>
      <c r="BA22" s="110"/>
      <c r="BB22" s="109"/>
      <c r="BC22" s="98"/>
      <c r="BD22" s="109"/>
      <c r="BE22" s="109"/>
      <c r="BF22" s="110"/>
      <c r="BG22" s="109"/>
      <c r="BH22" s="110"/>
      <c r="BI22" s="110"/>
      <c r="BJ22" s="110"/>
      <c r="BK22" s="110"/>
      <c r="BL22" s="110"/>
      <c r="BM22" s="98"/>
      <c r="BN22" s="109"/>
      <c r="BO22" s="110"/>
      <c r="BP22" s="110"/>
      <c r="BQ22" s="109"/>
      <c r="BR22" s="110"/>
      <c r="BS22" s="109"/>
      <c r="BT22" s="111"/>
    </row>
    <row r="23" spans="2:72" ht="18" customHeight="1">
      <c r="B23" s="276">
        <v>22</v>
      </c>
      <c r="C23" s="272" t="s">
        <v>686</v>
      </c>
      <c r="D23" s="240" t="s">
        <v>683</v>
      </c>
      <c r="F23" s="3"/>
      <c r="G23" s="3"/>
      <c r="H23" s="3"/>
      <c r="I23" s="3"/>
      <c r="J23" s="3"/>
      <c r="K23" s="243">
        <f t="shared" si="12"/>
        <v>0</v>
      </c>
      <c r="L23" s="243">
        <f t="shared" si="12"/>
        <v>0</v>
      </c>
      <c r="M23" s="243">
        <f t="shared" si="12"/>
        <v>0</v>
      </c>
      <c r="N23" s="243">
        <f t="shared" si="12"/>
        <v>0</v>
      </c>
      <c r="O23" s="243">
        <f t="shared" si="12"/>
        <v>0</v>
      </c>
      <c r="P23" s="244">
        <f t="shared" si="12"/>
        <v>0</v>
      </c>
      <c r="Q23" s="3"/>
      <c r="R23" s="247" t="str">
        <f aca="true" t="shared" si="14" ref="R23:R35">(IF(R6&lt;&gt;"",VLOOKUP(R6,$C$2:$D$67,2,FALSE),"0"))</f>
        <v>0</v>
      </c>
      <c r="S23" s="251" t="str">
        <f t="shared" si="13"/>
        <v>0</v>
      </c>
      <c r="T23" s="251" t="str">
        <f t="shared" si="13"/>
        <v>0</v>
      </c>
      <c r="U23" s="251" t="str">
        <f t="shared" si="13"/>
        <v>0</v>
      </c>
      <c r="V23" s="251" t="str">
        <f t="shared" si="13"/>
        <v>0</v>
      </c>
      <c r="W23" s="252" t="str">
        <f t="shared" si="13"/>
        <v>0</v>
      </c>
      <c r="Y23" s="95"/>
      <c r="Z23" s="95"/>
      <c r="AA23" s="95"/>
      <c r="AB23" s="95"/>
      <c r="AC23" s="95"/>
      <c r="AD23" s="95"/>
      <c r="AE23" s="96"/>
      <c r="AF23" s="281">
        <v>22</v>
      </c>
      <c r="AG23" s="288" t="s">
        <v>841</v>
      </c>
      <c r="AH23" s="302">
        <v>5</v>
      </c>
      <c r="AI23" s="302">
        <v>5</v>
      </c>
      <c r="AJ23" s="302">
        <v>2</v>
      </c>
      <c r="AK23" s="302">
        <v>9</v>
      </c>
      <c r="AL23" s="310" t="s">
        <v>105</v>
      </c>
      <c r="AM23" s="317">
        <v>170000</v>
      </c>
      <c r="AN23" s="386"/>
      <c r="AO23" s="103"/>
      <c r="AP23" s="103"/>
      <c r="AQ23" s="121"/>
      <c r="AR23" s="108"/>
      <c r="AS23" s="105"/>
      <c r="AT23" s="109"/>
      <c r="AU23" s="109"/>
      <c r="AV23" s="109"/>
      <c r="AW23" s="110"/>
      <c r="AX23" s="110"/>
      <c r="AY23" s="109"/>
      <c r="AZ23" s="109"/>
      <c r="BA23" s="110"/>
      <c r="BB23" s="109"/>
      <c r="BC23" s="109"/>
      <c r="BD23" s="109"/>
      <c r="BE23" s="109"/>
      <c r="BF23" s="110"/>
      <c r="BG23" s="109"/>
      <c r="BH23" s="110"/>
      <c r="BI23" s="110"/>
      <c r="BJ23" s="110"/>
      <c r="BK23" s="110"/>
      <c r="BL23" s="110"/>
      <c r="BM23" s="110"/>
      <c r="BN23" s="109"/>
      <c r="BO23" s="110"/>
      <c r="BP23" s="110"/>
      <c r="BQ23" s="109"/>
      <c r="BR23" s="110"/>
      <c r="BS23" s="109"/>
      <c r="BT23" s="111"/>
    </row>
    <row r="24" spans="2:72" ht="18" customHeight="1">
      <c r="B24" s="276">
        <v>23</v>
      </c>
      <c r="C24" s="272" t="s">
        <v>687</v>
      </c>
      <c r="D24" s="240" t="s">
        <v>683</v>
      </c>
      <c r="F24" s="3"/>
      <c r="G24" s="3"/>
      <c r="H24" s="3"/>
      <c r="I24" s="3"/>
      <c r="J24" s="3"/>
      <c r="K24" s="243">
        <f t="shared" si="12"/>
        <v>0</v>
      </c>
      <c r="L24" s="243">
        <f t="shared" si="12"/>
        <v>0</v>
      </c>
      <c r="M24" s="243">
        <f t="shared" si="12"/>
        <v>0</v>
      </c>
      <c r="N24" s="243">
        <f t="shared" si="12"/>
        <v>0</v>
      </c>
      <c r="O24" s="243">
        <f t="shared" si="12"/>
        <v>0</v>
      </c>
      <c r="P24" s="244">
        <f t="shared" si="12"/>
        <v>0</v>
      </c>
      <c r="Q24" s="3"/>
      <c r="R24" s="250" t="str">
        <f t="shared" si="14"/>
        <v>0</v>
      </c>
      <c r="S24" s="251" t="str">
        <f t="shared" si="13"/>
        <v>0</v>
      </c>
      <c r="T24" s="251" t="str">
        <f t="shared" si="13"/>
        <v>0</v>
      </c>
      <c r="U24" s="251" t="str">
        <f t="shared" si="13"/>
        <v>0</v>
      </c>
      <c r="V24" s="251" t="str">
        <f t="shared" si="13"/>
        <v>0</v>
      </c>
      <c r="W24" s="252" t="str">
        <f t="shared" si="13"/>
        <v>0</v>
      </c>
      <c r="Y24" s="95"/>
      <c r="Z24" s="108"/>
      <c r="AA24" s="95"/>
      <c r="AB24" s="95"/>
      <c r="AC24" s="95"/>
      <c r="AD24" s="95"/>
      <c r="AE24" s="96"/>
      <c r="AF24" s="281">
        <v>23</v>
      </c>
      <c r="AG24" s="289" t="s">
        <v>845</v>
      </c>
      <c r="AH24" s="303">
        <v>5</v>
      </c>
      <c r="AI24" s="303">
        <v>5</v>
      </c>
      <c r="AJ24" s="303">
        <v>2</v>
      </c>
      <c r="AK24" s="303">
        <v>8</v>
      </c>
      <c r="AL24" s="311" t="s">
        <v>66</v>
      </c>
      <c r="AM24" s="318">
        <v>180000</v>
      </c>
      <c r="AN24" s="387"/>
      <c r="AO24" s="103"/>
      <c r="AP24" s="103"/>
      <c r="AQ24" s="121"/>
      <c r="AR24" s="108"/>
      <c r="AS24" s="105"/>
      <c r="AT24" s="109"/>
      <c r="AU24" s="109"/>
      <c r="AV24" s="109"/>
      <c r="AW24" s="110"/>
      <c r="AX24" s="110"/>
      <c r="AY24" s="109"/>
      <c r="AZ24" s="109"/>
      <c r="BA24" s="110"/>
      <c r="BB24" s="109"/>
      <c r="BC24" s="109"/>
      <c r="BD24" s="109"/>
      <c r="BE24" s="109"/>
      <c r="BF24" s="110"/>
      <c r="BG24" s="109"/>
      <c r="BH24" s="110"/>
      <c r="BI24" s="110"/>
      <c r="BJ24" s="110"/>
      <c r="BK24" s="110"/>
      <c r="BL24" s="110"/>
      <c r="BM24" s="110"/>
      <c r="BN24" s="109"/>
      <c r="BO24" s="110"/>
      <c r="BP24" s="110"/>
      <c r="BQ24" s="109"/>
      <c r="BR24" s="110"/>
      <c r="BS24" s="109"/>
      <c r="BT24" s="111"/>
    </row>
    <row r="25" spans="2:74" ht="18" customHeight="1">
      <c r="B25" s="276">
        <v>24</v>
      </c>
      <c r="C25" s="272" t="s">
        <v>688</v>
      </c>
      <c r="D25" s="240" t="s">
        <v>683</v>
      </c>
      <c r="F25" s="3"/>
      <c r="G25" s="3"/>
      <c r="H25" s="3"/>
      <c r="I25" s="3"/>
      <c r="J25" s="3"/>
      <c r="K25" s="243">
        <f t="shared" si="12"/>
        <v>0</v>
      </c>
      <c r="L25" s="243">
        <f t="shared" si="12"/>
        <v>0</v>
      </c>
      <c r="M25" s="243">
        <f t="shared" si="12"/>
        <v>0</v>
      </c>
      <c r="N25" s="243">
        <f t="shared" si="12"/>
        <v>0</v>
      </c>
      <c r="O25" s="243">
        <f t="shared" si="12"/>
        <v>0</v>
      </c>
      <c r="P25" s="244">
        <f t="shared" si="12"/>
        <v>0</v>
      </c>
      <c r="Q25" s="3"/>
      <c r="R25" s="250" t="str">
        <f t="shared" si="14"/>
        <v>0</v>
      </c>
      <c r="S25" s="251" t="str">
        <f t="shared" si="13"/>
        <v>0</v>
      </c>
      <c r="T25" s="251" t="str">
        <f t="shared" si="13"/>
        <v>0</v>
      </c>
      <c r="U25" s="251" t="str">
        <f t="shared" si="13"/>
        <v>0</v>
      </c>
      <c r="V25" s="251" t="str">
        <f t="shared" si="13"/>
        <v>0</v>
      </c>
      <c r="W25" s="252" t="str">
        <f t="shared" si="13"/>
        <v>0</v>
      </c>
      <c r="Y25" s="95"/>
      <c r="Z25" s="95"/>
      <c r="AA25" s="95"/>
      <c r="AB25" s="95"/>
      <c r="AC25" s="95"/>
      <c r="AD25" s="95"/>
      <c r="AE25" s="96"/>
      <c r="AF25" s="281">
        <v>24</v>
      </c>
      <c r="AG25" s="287" t="s">
        <v>743</v>
      </c>
      <c r="AH25" s="301">
        <v>6</v>
      </c>
      <c r="AI25" s="301">
        <v>3</v>
      </c>
      <c r="AJ25" s="301">
        <v>4</v>
      </c>
      <c r="AK25" s="301">
        <v>8</v>
      </c>
      <c r="AL25" s="309" t="s">
        <v>380</v>
      </c>
      <c r="AM25" s="316">
        <v>100000</v>
      </c>
      <c r="AN25" s="388" t="s">
        <v>74</v>
      </c>
      <c r="AO25" s="103"/>
      <c r="AP25" s="103"/>
      <c r="AQ25" s="121"/>
      <c r="AR25" s="108"/>
      <c r="AS25" s="105"/>
      <c r="AT25" s="109"/>
      <c r="AU25" s="109"/>
      <c r="AV25" s="109"/>
      <c r="AW25" s="110"/>
      <c r="AX25" s="110"/>
      <c r="AY25" s="109"/>
      <c r="AZ25" s="109"/>
      <c r="BA25" s="109"/>
      <c r="BB25" s="110"/>
      <c r="BC25" s="109"/>
      <c r="BD25" s="109"/>
      <c r="BE25" s="109"/>
      <c r="BF25" s="109"/>
      <c r="BG25" s="110"/>
      <c r="BH25" s="109"/>
      <c r="BI25" s="110"/>
      <c r="BJ25" s="110"/>
      <c r="BK25" s="110"/>
      <c r="BL25" s="110"/>
      <c r="BM25" s="110"/>
      <c r="BN25" s="110"/>
      <c r="BO25" s="110"/>
      <c r="BP25" s="109"/>
      <c r="BQ25" s="110"/>
      <c r="BR25" s="109"/>
      <c r="BS25" s="110"/>
      <c r="BU25" s="109"/>
      <c r="BV25" s="111"/>
    </row>
    <row r="26" spans="2:74" ht="18" customHeight="1">
      <c r="B26" s="276">
        <v>25</v>
      </c>
      <c r="C26" s="272" t="s">
        <v>689</v>
      </c>
      <c r="D26" s="240" t="s">
        <v>683</v>
      </c>
      <c r="F26" s="3"/>
      <c r="G26" s="3"/>
      <c r="H26" s="3"/>
      <c r="I26" s="3"/>
      <c r="J26" s="3"/>
      <c r="K26" s="243">
        <f t="shared" si="12"/>
        <v>0</v>
      </c>
      <c r="L26" s="243">
        <f t="shared" si="12"/>
        <v>0</v>
      </c>
      <c r="M26" s="243">
        <f t="shared" si="12"/>
        <v>0</v>
      </c>
      <c r="N26" s="243">
        <f t="shared" si="12"/>
        <v>0</v>
      </c>
      <c r="O26" s="243">
        <f t="shared" si="12"/>
        <v>0</v>
      </c>
      <c r="P26" s="244">
        <f t="shared" si="12"/>
        <v>0</v>
      </c>
      <c r="Q26" s="3"/>
      <c r="R26" s="247" t="str">
        <f t="shared" si="14"/>
        <v>0</v>
      </c>
      <c r="S26" s="251" t="str">
        <f t="shared" si="13"/>
        <v>0</v>
      </c>
      <c r="T26" s="251" t="str">
        <f t="shared" si="13"/>
        <v>0</v>
      </c>
      <c r="U26" s="251" t="str">
        <f t="shared" si="13"/>
        <v>0</v>
      </c>
      <c r="V26" s="251" t="str">
        <f t="shared" si="13"/>
        <v>0</v>
      </c>
      <c r="W26" s="252" t="str">
        <f t="shared" si="13"/>
        <v>0</v>
      </c>
      <c r="Y26" s="95"/>
      <c r="Z26" s="95"/>
      <c r="AA26" s="95"/>
      <c r="AB26" s="95"/>
      <c r="AC26" s="95"/>
      <c r="AD26" s="95"/>
      <c r="AE26" s="96"/>
      <c r="AF26" s="281">
        <v>25</v>
      </c>
      <c r="AG26" s="288" t="s">
        <v>768</v>
      </c>
      <c r="AH26" s="302">
        <v>7</v>
      </c>
      <c r="AI26" s="302">
        <v>3</v>
      </c>
      <c r="AJ26" s="302">
        <v>4</v>
      </c>
      <c r="AK26" s="302">
        <v>7</v>
      </c>
      <c r="AL26" s="310" t="s">
        <v>856</v>
      </c>
      <c r="AM26" s="317">
        <v>110000</v>
      </c>
      <c r="AN26" s="389"/>
      <c r="AO26" s="103"/>
      <c r="AP26" s="103"/>
      <c r="AQ26" s="121"/>
      <c r="AR26" s="108"/>
      <c r="AS26" s="105"/>
      <c r="AT26" s="109"/>
      <c r="AU26" s="109"/>
      <c r="AV26" s="109"/>
      <c r="AW26" s="110"/>
      <c r="AX26" s="110"/>
      <c r="AY26" s="109"/>
      <c r="AZ26" s="129"/>
      <c r="BA26" s="109"/>
      <c r="BB26" s="110"/>
      <c r="BC26" s="109"/>
      <c r="BD26" s="109"/>
      <c r="BE26" s="109"/>
      <c r="BF26" s="109"/>
      <c r="BG26" s="110"/>
      <c r="BH26" s="109"/>
      <c r="BI26" s="110"/>
      <c r="BJ26" s="110"/>
      <c r="BK26" s="110"/>
      <c r="BL26" s="110"/>
      <c r="BM26" s="110"/>
      <c r="BN26" s="110"/>
      <c r="BO26" s="110"/>
      <c r="BP26" s="109"/>
      <c r="BQ26" s="110"/>
      <c r="BR26" s="109"/>
      <c r="BS26" s="110"/>
      <c r="BU26" s="109"/>
      <c r="BV26" s="111"/>
    </row>
    <row r="27" spans="2:74" ht="18" customHeight="1">
      <c r="B27" s="276">
        <v>26</v>
      </c>
      <c r="C27" s="272" t="s">
        <v>690</v>
      </c>
      <c r="D27" s="240" t="s">
        <v>683</v>
      </c>
      <c r="F27" s="3"/>
      <c r="G27" s="3"/>
      <c r="H27" s="3"/>
      <c r="I27" s="3"/>
      <c r="J27" s="3"/>
      <c r="K27" s="243">
        <f t="shared" si="12"/>
        <v>0</v>
      </c>
      <c r="L27" s="243">
        <f t="shared" si="12"/>
        <v>0</v>
      </c>
      <c r="M27" s="243">
        <f t="shared" si="12"/>
        <v>0</v>
      </c>
      <c r="N27" s="243">
        <f t="shared" si="12"/>
        <v>0</v>
      </c>
      <c r="O27" s="243">
        <f t="shared" si="12"/>
        <v>0</v>
      </c>
      <c r="P27" s="244">
        <f t="shared" si="12"/>
        <v>0</v>
      </c>
      <c r="Q27" s="3"/>
      <c r="R27" s="250" t="str">
        <f t="shared" si="14"/>
        <v>0</v>
      </c>
      <c r="S27" s="251" t="str">
        <f t="shared" si="13"/>
        <v>0</v>
      </c>
      <c r="T27" s="251" t="str">
        <f t="shared" si="13"/>
        <v>0</v>
      </c>
      <c r="U27" s="251" t="str">
        <f t="shared" si="13"/>
        <v>0</v>
      </c>
      <c r="V27" s="251" t="str">
        <f t="shared" si="13"/>
        <v>0</v>
      </c>
      <c r="W27" s="252" t="str">
        <f t="shared" si="13"/>
        <v>0</v>
      </c>
      <c r="Y27" s="95"/>
      <c r="Z27" s="95"/>
      <c r="AA27" s="95"/>
      <c r="AB27" s="95"/>
      <c r="AC27" s="95"/>
      <c r="AD27" s="95"/>
      <c r="AE27" s="96"/>
      <c r="AF27" s="281">
        <v>26</v>
      </c>
      <c r="AG27" s="288" t="s">
        <v>793</v>
      </c>
      <c r="AH27" s="302">
        <v>6</v>
      </c>
      <c r="AI27" s="302">
        <v>3</v>
      </c>
      <c r="AJ27" s="302">
        <v>4</v>
      </c>
      <c r="AK27" s="302">
        <v>7</v>
      </c>
      <c r="AL27" s="310" t="s">
        <v>857</v>
      </c>
      <c r="AM27" s="317">
        <v>120000</v>
      </c>
      <c r="AN27" s="389"/>
      <c r="AO27" s="103"/>
      <c r="AP27" s="103"/>
      <c r="AQ27" s="121"/>
      <c r="AR27" s="108"/>
      <c r="AS27" s="105"/>
      <c r="AT27" s="109"/>
      <c r="AU27" s="109"/>
      <c r="AV27" s="109"/>
      <c r="AW27" s="110"/>
      <c r="AX27" s="110"/>
      <c r="AY27" s="109"/>
      <c r="AZ27" s="129"/>
      <c r="BA27" s="109"/>
      <c r="BB27" s="110"/>
      <c r="BC27" s="109"/>
      <c r="BD27" s="109"/>
      <c r="BE27" s="109"/>
      <c r="BF27" s="109"/>
      <c r="BG27" s="110"/>
      <c r="BH27" s="109"/>
      <c r="BI27" s="110"/>
      <c r="BJ27" s="110"/>
      <c r="BK27" s="110"/>
      <c r="BL27" s="110"/>
      <c r="BM27" s="110"/>
      <c r="BN27" s="110"/>
      <c r="BO27" s="110"/>
      <c r="BP27" s="109"/>
      <c r="BQ27" s="110"/>
      <c r="BR27" s="109"/>
      <c r="BS27" s="110"/>
      <c r="BU27" s="109"/>
      <c r="BV27" s="111"/>
    </row>
    <row r="28" spans="2:74" ht="18" customHeight="1">
      <c r="B28" s="276">
        <v>27</v>
      </c>
      <c r="C28" s="272" t="s">
        <v>691</v>
      </c>
      <c r="D28" s="240" t="s">
        <v>683</v>
      </c>
      <c r="F28" s="1"/>
      <c r="G28" s="1"/>
      <c r="H28" s="1"/>
      <c r="I28" s="1"/>
      <c r="J28" s="1"/>
      <c r="K28" s="243">
        <f t="shared" si="12"/>
        <v>0</v>
      </c>
      <c r="L28" s="243">
        <f t="shared" si="12"/>
        <v>0</v>
      </c>
      <c r="M28" s="243">
        <f t="shared" si="12"/>
        <v>0</v>
      </c>
      <c r="N28" s="243">
        <f t="shared" si="12"/>
        <v>0</v>
      </c>
      <c r="O28" s="243">
        <f t="shared" si="12"/>
        <v>0</v>
      </c>
      <c r="P28" s="244">
        <f t="shared" si="12"/>
        <v>0</v>
      </c>
      <c r="Q28" s="1"/>
      <c r="R28" s="250" t="str">
        <f t="shared" si="14"/>
        <v>0</v>
      </c>
      <c r="S28" s="251" t="str">
        <f t="shared" si="13"/>
        <v>0</v>
      </c>
      <c r="T28" s="251" t="str">
        <f t="shared" si="13"/>
        <v>0</v>
      </c>
      <c r="U28" s="251" t="str">
        <f t="shared" si="13"/>
        <v>0</v>
      </c>
      <c r="V28" s="251" t="str">
        <f t="shared" si="13"/>
        <v>0</v>
      </c>
      <c r="W28" s="252" t="str">
        <f t="shared" si="13"/>
        <v>0</v>
      </c>
      <c r="Y28" s="95"/>
      <c r="Z28" s="95"/>
      <c r="AA28" s="95"/>
      <c r="AB28" s="95"/>
      <c r="AC28" s="95"/>
      <c r="AD28" s="95"/>
      <c r="AE28" s="96"/>
      <c r="AF28" s="281">
        <v>27</v>
      </c>
      <c r="AG28" s="288" t="s">
        <v>813</v>
      </c>
      <c r="AH28" s="302">
        <v>7</v>
      </c>
      <c r="AI28" s="302">
        <v>3</v>
      </c>
      <c r="AJ28" s="302">
        <v>4</v>
      </c>
      <c r="AK28" s="302">
        <v>8</v>
      </c>
      <c r="AL28" s="310" t="s">
        <v>391</v>
      </c>
      <c r="AM28" s="317">
        <v>130000</v>
      </c>
      <c r="AN28" s="389"/>
      <c r="AO28" s="103"/>
      <c r="AS28" s="105"/>
      <c r="AT28" s="109"/>
      <c r="AU28" s="109"/>
      <c r="AV28" s="109"/>
      <c r="AW28" s="110"/>
      <c r="AX28" s="110"/>
      <c r="AY28" s="109"/>
      <c r="AZ28" s="129"/>
      <c r="BA28" s="109"/>
      <c r="BB28" s="110"/>
      <c r="BC28" s="109"/>
      <c r="BD28" s="109"/>
      <c r="BE28" s="109"/>
      <c r="BF28" s="109"/>
      <c r="BG28" s="110"/>
      <c r="BH28" s="109"/>
      <c r="BI28" s="110"/>
      <c r="BJ28" s="110"/>
      <c r="BK28" s="110"/>
      <c r="BL28" s="110"/>
      <c r="BM28" s="110"/>
      <c r="BN28" s="110"/>
      <c r="BO28" s="110"/>
      <c r="BP28" s="109"/>
      <c r="BQ28" s="110"/>
      <c r="BR28" s="109"/>
      <c r="BS28" s="110"/>
      <c r="BU28" s="109"/>
      <c r="BV28" s="111"/>
    </row>
    <row r="29" spans="2:74" ht="18" customHeight="1">
      <c r="B29" s="276">
        <v>28</v>
      </c>
      <c r="C29" s="238" t="s">
        <v>692</v>
      </c>
      <c r="D29" s="239"/>
      <c r="F29" s="1"/>
      <c r="G29" s="1"/>
      <c r="H29" s="1"/>
      <c r="I29" s="1"/>
      <c r="J29" s="1"/>
      <c r="K29" s="243">
        <f t="shared" si="12"/>
        <v>0</v>
      </c>
      <c r="L29" s="243">
        <f t="shared" si="12"/>
        <v>0</v>
      </c>
      <c r="M29" s="243">
        <f t="shared" si="12"/>
        <v>0</v>
      </c>
      <c r="N29" s="243">
        <f t="shared" si="12"/>
        <v>0</v>
      </c>
      <c r="O29" s="243">
        <f t="shared" si="12"/>
        <v>0</v>
      </c>
      <c r="P29" s="244">
        <f t="shared" si="12"/>
        <v>0</v>
      </c>
      <c r="Q29" s="1"/>
      <c r="R29" s="247" t="str">
        <f t="shared" si="14"/>
        <v>0</v>
      </c>
      <c r="S29" s="251" t="str">
        <f t="shared" si="13"/>
        <v>0</v>
      </c>
      <c r="T29" s="251" t="str">
        <f t="shared" si="13"/>
        <v>0</v>
      </c>
      <c r="U29" s="251" t="str">
        <f t="shared" si="13"/>
        <v>0</v>
      </c>
      <c r="V29" s="251" t="str">
        <f t="shared" si="13"/>
        <v>0</v>
      </c>
      <c r="W29" s="252" t="str">
        <f t="shared" si="13"/>
        <v>0</v>
      </c>
      <c r="Y29" s="95"/>
      <c r="Z29" s="95"/>
      <c r="AA29" s="95"/>
      <c r="AB29" s="95"/>
      <c r="AC29" s="95"/>
      <c r="AD29" s="95"/>
      <c r="AE29" s="96"/>
      <c r="AF29" s="281">
        <v>28</v>
      </c>
      <c r="AG29" s="289" t="s">
        <v>830</v>
      </c>
      <c r="AH29" s="303">
        <v>7</v>
      </c>
      <c r="AI29" s="303">
        <v>3</v>
      </c>
      <c r="AJ29" s="303">
        <v>4</v>
      </c>
      <c r="AK29" s="303">
        <v>7</v>
      </c>
      <c r="AL29" s="311" t="s">
        <v>894</v>
      </c>
      <c r="AM29" s="318">
        <v>140000</v>
      </c>
      <c r="AN29" s="390"/>
      <c r="AZ29" s="129"/>
      <c r="BA29" s="144"/>
      <c r="BB29" s="149"/>
      <c r="BF29" s="144"/>
      <c r="BG29" s="93"/>
      <c r="BH29" s="144"/>
      <c r="BI29" s="93"/>
      <c r="BJ29" s="149"/>
      <c r="BN29" s="93"/>
      <c r="BP29" s="144"/>
      <c r="BQ29" s="93"/>
      <c r="BR29" s="144"/>
      <c r="BS29" s="93"/>
      <c r="BU29" s="144"/>
      <c r="BV29" s="111"/>
    </row>
    <row r="30" spans="2:74" ht="18" customHeight="1">
      <c r="B30" s="276">
        <v>29</v>
      </c>
      <c r="C30" s="272" t="s">
        <v>693</v>
      </c>
      <c r="D30" s="240" t="s">
        <v>694</v>
      </c>
      <c r="F30" s="1"/>
      <c r="G30" s="1"/>
      <c r="H30" s="1"/>
      <c r="I30" s="1"/>
      <c r="J30" s="1"/>
      <c r="K30" s="243">
        <f t="shared" si="12"/>
        <v>0</v>
      </c>
      <c r="L30" s="243">
        <f t="shared" si="12"/>
        <v>0</v>
      </c>
      <c r="M30" s="243">
        <f t="shared" si="12"/>
        <v>0</v>
      </c>
      <c r="N30" s="243">
        <f t="shared" si="12"/>
        <v>0</v>
      </c>
      <c r="O30" s="243">
        <f t="shared" si="12"/>
        <v>0</v>
      </c>
      <c r="P30" s="244">
        <f t="shared" si="12"/>
        <v>0</v>
      </c>
      <c r="Q30" s="1"/>
      <c r="R30" s="250" t="str">
        <f t="shared" si="14"/>
        <v>0</v>
      </c>
      <c r="S30" s="251" t="str">
        <f aca="true" t="shared" si="15" ref="S30:W35">(IF(S13&lt;&gt;"",VLOOKUP(S13,$C$2:$D$65,2,FALSE),"0"))</f>
        <v>0</v>
      </c>
      <c r="T30" s="251" t="str">
        <f t="shared" si="15"/>
        <v>0</v>
      </c>
      <c r="U30" s="251" t="str">
        <f t="shared" si="15"/>
        <v>0</v>
      </c>
      <c r="V30" s="251" t="str">
        <f t="shared" si="15"/>
        <v>0</v>
      </c>
      <c r="W30" s="252" t="str">
        <f t="shared" si="15"/>
        <v>0</v>
      </c>
      <c r="Y30" s="95"/>
      <c r="Z30" s="95"/>
      <c r="AA30" s="95"/>
      <c r="AB30" s="95"/>
      <c r="AC30" s="95"/>
      <c r="AD30" s="95"/>
      <c r="AE30" s="96"/>
      <c r="AF30" s="281">
        <v>29</v>
      </c>
      <c r="AG30" s="288" t="s">
        <v>846</v>
      </c>
      <c r="AH30" s="302">
        <v>6</v>
      </c>
      <c r="AI30" s="302">
        <v>3</v>
      </c>
      <c r="AJ30" s="302">
        <v>3</v>
      </c>
      <c r="AK30" s="302">
        <v>8</v>
      </c>
      <c r="AL30" s="310" t="s">
        <v>881</v>
      </c>
      <c r="AM30" s="317">
        <v>60000</v>
      </c>
      <c r="AN30" s="385" t="s">
        <v>459</v>
      </c>
      <c r="BA30" s="144"/>
      <c r="BB30" s="149"/>
      <c r="BF30" s="144"/>
      <c r="BG30" s="93"/>
      <c r="BH30" s="144"/>
      <c r="BI30" s="93"/>
      <c r="BJ30" s="149"/>
      <c r="BN30" s="93"/>
      <c r="BP30" s="144"/>
      <c r="BQ30" s="93"/>
      <c r="BR30" s="144"/>
      <c r="BS30" s="93"/>
      <c r="BU30" s="144"/>
      <c r="BV30" s="111"/>
    </row>
    <row r="31" spans="2:74" ht="18" customHeight="1">
      <c r="B31" s="276">
        <v>30</v>
      </c>
      <c r="C31" s="272" t="s">
        <v>76</v>
      </c>
      <c r="D31" s="240" t="s">
        <v>694</v>
      </c>
      <c r="F31" s="1"/>
      <c r="G31" s="1"/>
      <c r="H31" s="1"/>
      <c r="I31" s="1"/>
      <c r="J31" s="1"/>
      <c r="K31" s="243">
        <f t="shared" si="12"/>
        <v>0</v>
      </c>
      <c r="L31" s="243">
        <f t="shared" si="12"/>
        <v>0</v>
      </c>
      <c r="M31" s="243">
        <f t="shared" si="12"/>
        <v>0</v>
      </c>
      <c r="N31" s="243">
        <f t="shared" si="12"/>
        <v>0</v>
      </c>
      <c r="O31" s="243">
        <f t="shared" si="12"/>
        <v>0</v>
      </c>
      <c r="P31" s="244">
        <f t="shared" si="12"/>
        <v>0</v>
      </c>
      <c r="Q31" s="1"/>
      <c r="R31" s="250" t="str">
        <f t="shared" si="14"/>
        <v>0</v>
      </c>
      <c r="S31" s="251" t="str">
        <f t="shared" si="15"/>
        <v>0</v>
      </c>
      <c r="T31" s="251" t="str">
        <f t="shared" si="15"/>
        <v>0</v>
      </c>
      <c r="U31" s="251" t="str">
        <f t="shared" si="15"/>
        <v>0</v>
      </c>
      <c r="V31" s="251" t="str">
        <f t="shared" si="15"/>
        <v>0</v>
      </c>
      <c r="W31" s="252" t="str">
        <f t="shared" si="15"/>
        <v>0</v>
      </c>
      <c r="Y31" s="95"/>
      <c r="Z31" s="114"/>
      <c r="AA31" s="114"/>
      <c r="AB31" s="114"/>
      <c r="AC31" s="114"/>
      <c r="AD31" s="121"/>
      <c r="AE31" s="96"/>
      <c r="AF31" s="281">
        <v>30</v>
      </c>
      <c r="AG31" s="288" t="s">
        <v>847</v>
      </c>
      <c r="AH31" s="302">
        <v>6</v>
      </c>
      <c r="AI31" s="302">
        <v>3</v>
      </c>
      <c r="AJ31" s="302">
        <v>3</v>
      </c>
      <c r="AK31" s="302">
        <v>7</v>
      </c>
      <c r="AL31" s="310" t="s">
        <v>895</v>
      </c>
      <c r="AM31" s="317">
        <v>80000</v>
      </c>
      <c r="AN31" s="386"/>
      <c r="BA31" s="144"/>
      <c r="BB31" s="149"/>
      <c r="BF31" s="144"/>
      <c r="BG31" s="93"/>
      <c r="BH31" s="144"/>
      <c r="BI31" s="93"/>
      <c r="BJ31" s="149"/>
      <c r="BN31" s="93"/>
      <c r="BP31" s="144"/>
      <c r="BQ31" s="93"/>
      <c r="BT31" s="93"/>
      <c r="BU31" s="144"/>
      <c r="BV31" s="111"/>
    </row>
    <row r="32" spans="2:73" ht="18" customHeight="1">
      <c r="B32" s="276">
        <v>31</v>
      </c>
      <c r="C32" s="272" t="s">
        <v>695</v>
      </c>
      <c r="D32" s="240" t="s">
        <v>694</v>
      </c>
      <c r="K32" s="243">
        <f t="shared" si="12"/>
        <v>0</v>
      </c>
      <c r="L32" s="243">
        <f t="shared" si="12"/>
        <v>0</v>
      </c>
      <c r="M32" s="243">
        <f t="shared" si="12"/>
        <v>0</v>
      </c>
      <c r="N32" s="243">
        <f t="shared" si="12"/>
        <v>0</v>
      </c>
      <c r="O32" s="243">
        <f t="shared" si="12"/>
        <v>0</v>
      </c>
      <c r="P32" s="244">
        <f t="shared" si="12"/>
        <v>0</v>
      </c>
      <c r="R32" s="247" t="str">
        <f t="shared" si="14"/>
        <v>0</v>
      </c>
      <c r="S32" s="251" t="str">
        <f t="shared" si="15"/>
        <v>0</v>
      </c>
      <c r="T32" s="251" t="str">
        <f t="shared" si="15"/>
        <v>0</v>
      </c>
      <c r="U32" s="251" t="str">
        <f t="shared" si="15"/>
        <v>0</v>
      </c>
      <c r="V32" s="251" t="str">
        <f t="shared" si="15"/>
        <v>0</v>
      </c>
      <c r="W32" s="252" t="str">
        <f t="shared" si="15"/>
        <v>0</v>
      </c>
      <c r="Y32" s="95"/>
      <c r="Z32" s="114"/>
      <c r="AA32" s="114"/>
      <c r="AB32" s="114"/>
      <c r="AC32" s="114"/>
      <c r="AD32" s="121"/>
      <c r="AE32" s="96"/>
      <c r="AF32" s="281">
        <v>31</v>
      </c>
      <c r="AG32" s="288" t="s">
        <v>848</v>
      </c>
      <c r="AH32" s="302">
        <v>6</v>
      </c>
      <c r="AI32" s="302">
        <v>3</v>
      </c>
      <c r="AJ32" s="302">
        <v>3</v>
      </c>
      <c r="AK32" s="302">
        <v>8</v>
      </c>
      <c r="AL32" s="310" t="s">
        <v>896</v>
      </c>
      <c r="AM32" s="317">
        <v>90000</v>
      </c>
      <c r="AN32" s="386"/>
      <c r="BA32" s="144"/>
      <c r="BB32" s="149"/>
      <c r="BF32" s="144"/>
      <c r="BG32" s="93"/>
      <c r="BH32" s="144"/>
      <c r="BI32" s="93"/>
      <c r="BJ32" s="149"/>
      <c r="BN32" s="93"/>
      <c r="BP32" s="144"/>
      <c r="BQ32" s="93"/>
      <c r="BT32" s="93"/>
      <c r="BU32" s="144"/>
    </row>
    <row r="33" spans="2:72" ht="18" customHeight="1">
      <c r="B33" s="276">
        <v>32</v>
      </c>
      <c r="C33" s="272" t="s">
        <v>696</v>
      </c>
      <c r="D33" s="240" t="s">
        <v>694</v>
      </c>
      <c r="K33" s="243">
        <f t="shared" si="12"/>
        <v>0</v>
      </c>
      <c r="L33" s="243">
        <f t="shared" si="12"/>
        <v>0</v>
      </c>
      <c r="M33" s="243">
        <f t="shared" si="12"/>
        <v>0</v>
      </c>
      <c r="N33" s="243">
        <f t="shared" si="12"/>
        <v>0</v>
      </c>
      <c r="O33" s="243">
        <f t="shared" si="12"/>
        <v>0</v>
      </c>
      <c r="P33" s="244">
        <f t="shared" si="12"/>
        <v>0</v>
      </c>
      <c r="R33" s="250" t="str">
        <f t="shared" si="14"/>
        <v>0</v>
      </c>
      <c r="S33" s="251" t="str">
        <f t="shared" si="15"/>
        <v>0</v>
      </c>
      <c r="T33" s="251" t="str">
        <f t="shared" si="15"/>
        <v>0</v>
      </c>
      <c r="U33" s="251" t="str">
        <f t="shared" si="15"/>
        <v>0</v>
      </c>
      <c r="V33" s="251" t="str">
        <f t="shared" si="15"/>
        <v>0</v>
      </c>
      <c r="W33" s="252" t="str">
        <f t="shared" si="15"/>
        <v>0</v>
      </c>
      <c r="Y33" s="95"/>
      <c r="Z33" s="114"/>
      <c r="AA33" s="114"/>
      <c r="AB33" s="114"/>
      <c r="AC33" s="114"/>
      <c r="AD33" s="121"/>
      <c r="AE33" s="96"/>
      <c r="AF33" s="281">
        <v>32</v>
      </c>
      <c r="AG33" s="288" t="s">
        <v>849</v>
      </c>
      <c r="AH33" s="302">
        <v>6</v>
      </c>
      <c r="AI33" s="302">
        <v>5</v>
      </c>
      <c r="AJ33" s="302">
        <v>1</v>
      </c>
      <c r="AK33" s="302">
        <v>9</v>
      </c>
      <c r="AL33" s="310" t="s">
        <v>466</v>
      </c>
      <c r="AM33" s="317">
        <v>180000</v>
      </c>
      <c r="AN33" s="387"/>
      <c r="BA33" s="144"/>
      <c r="BB33" s="149"/>
      <c r="BF33" s="144"/>
      <c r="BG33" s="93"/>
      <c r="BH33" s="144"/>
      <c r="BI33" s="93"/>
      <c r="BJ33" s="149"/>
      <c r="BN33" s="93"/>
      <c r="BO33" s="144"/>
      <c r="BQ33" s="93"/>
      <c r="BR33" s="144"/>
      <c r="BS33" s="93"/>
      <c r="BT33" s="144"/>
    </row>
    <row r="34" spans="2:40" ht="18" customHeight="1">
      <c r="B34" s="276">
        <v>33</v>
      </c>
      <c r="C34" s="272" t="s">
        <v>697</v>
      </c>
      <c r="D34" s="240" t="s">
        <v>694</v>
      </c>
      <c r="K34" s="243">
        <f t="shared" si="12"/>
        <v>0</v>
      </c>
      <c r="L34" s="243">
        <f t="shared" si="12"/>
        <v>0</v>
      </c>
      <c r="M34" s="243">
        <f t="shared" si="12"/>
        <v>0</v>
      </c>
      <c r="N34" s="243">
        <f t="shared" si="12"/>
        <v>0</v>
      </c>
      <c r="O34" s="243">
        <f t="shared" si="12"/>
        <v>0</v>
      </c>
      <c r="P34" s="244">
        <f t="shared" si="12"/>
        <v>0</v>
      </c>
      <c r="R34" s="250" t="str">
        <f t="shared" si="14"/>
        <v>0</v>
      </c>
      <c r="S34" s="251" t="str">
        <f t="shared" si="15"/>
        <v>0</v>
      </c>
      <c r="T34" s="251" t="str">
        <f t="shared" si="15"/>
        <v>0</v>
      </c>
      <c r="U34" s="251" t="str">
        <f t="shared" si="15"/>
        <v>0</v>
      </c>
      <c r="V34" s="251" t="str">
        <f t="shared" si="15"/>
        <v>0</v>
      </c>
      <c r="W34" s="252" t="str">
        <f t="shared" si="15"/>
        <v>0</v>
      </c>
      <c r="Y34" s="95"/>
      <c r="Z34" s="114"/>
      <c r="AA34" s="114"/>
      <c r="AB34" s="114"/>
      <c r="AC34" s="114"/>
      <c r="AD34" s="121"/>
      <c r="AE34" s="96"/>
      <c r="AF34" s="281">
        <v>33</v>
      </c>
      <c r="AG34" s="290" t="s">
        <v>744</v>
      </c>
      <c r="AH34" s="301">
        <v>4</v>
      </c>
      <c r="AI34" s="301">
        <v>3</v>
      </c>
      <c r="AJ34" s="301">
        <v>2</v>
      </c>
      <c r="AK34" s="301">
        <v>9</v>
      </c>
      <c r="AL34" s="309" t="s">
        <v>382</v>
      </c>
      <c r="AM34" s="319">
        <v>100000</v>
      </c>
      <c r="AN34" s="382" t="s">
        <v>81</v>
      </c>
    </row>
    <row r="35" spans="2:40" ht="18" customHeight="1">
      <c r="B35" s="276">
        <v>34</v>
      </c>
      <c r="C35" s="272" t="s">
        <v>89</v>
      </c>
      <c r="D35" s="240" t="s">
        <v>694</v>
      </c>
      <c r="K35" s="245">
        <f t="shared" si="12"/>
        <v>0</v>
      </c>
      <c r="L35" s="245">
        <f t="shared" si="12"/>
        <v>0</v>
      </c>
      <c r="M35" s="245">
        <f t="shared" si="12"/>
        <v>0</v>
      </c>
      <c r="N35" s="245">
        <f t="shared" si="12"/>
        <v>0</v>
      </c>
      <c r="O35" s="245">
        <f t="shared" si="12"/>
        <v>0</v>
      </c>
      <c r="P35" s="246">
        <f t="shared" si="12"/>
        <v>0</v>
      </c>
      <c r="R35" s="247" t="str">
        <f t="shared" si="14"/>
        <v>0</v>
      </c>
      <c r="S35" s="253" t="str">
        <f t="shared" si="15"/>
        <v>0</v>
      </c>
      <c r="T35" s="253" t="str">
        <f t="shared" si="15"/>
        <v>0</v>
      </c>
      <c r="U35" s="253" t="str">
        <f t="shared" si="15"/>
        <v>0</v>
      </c>
      <c r="V35" s="253" t="str">
        <f t="shared" si="15"/>
        <v>0</v>
      </c>
      <c r="W35" s="254" t="str">
        <f t="shared" si="15"/>
        <v>0</v>
      </c>
      <c r="Y35" s="95"/>
      <c r="Z35" s="114"/>
      <c r="AA35" s="114"/>
      <c r="AB35" s="114"/>
      <c r="AC35" s="114"/>
      <c r="AD35" s="121"/>
      <c r="AE35" s="96"/>
      <c r="AF35" s="281">
        <v>34</v>
      </c>
      <c r="AG35" s="291" t="s">
        <v>769</v>
      </c>
      <c r="AH35" s="302">
        <v>6</v>
      </c>
      <c r="AI35" s="302">
        <v>3</v>
      </c>
      <c r="AJ35" s="302">
        <v>3</v>
      </c>
      <c r="AK35" s="302">
        <v>8</v>
      </c>
      <c r="AL35" s="310" t="s">
        <v>858</v>
      </c>
      <c r="AM35" s="320">
        <v>110000</v>
      </c>
      <c r="AN35" s="383"/>
    </row>
    <row r="36" spans="2:40" ht="18" customHeight="1">
      <c r="B36" s="276">
        <v>35</v>
      </c>
      <c r="C36" s="272" t="s">
        <v>698</v>
      </c>
      <c r="D36" s="240" t="s">
        <v>694</v>
      </c>
      <c r="K36" s="264"/>
      <c r="L36" s="264"/>
      <c r="M36" s="264"/>
      <c r="N36" s="265" t="s">
        <v>735</v>
      </c>
      <c r="O36" s="264"/>
      <c r="P36" s="265" t="s">
        <v>736</v>
      </c>
      <c r="Q36" s="264"/>
      <c r="R36" s="217" t="s">
        <v>737</v>
      </c>
      <c r="S36" s="1"/>
      <c r="T36" s="1"/>
      <c r="U36" s="1"/>
      <c r="V36" s="1"/>
      <c r="W36" s="1"/>
      <c r="Y36" s="95"/>
      <c r="Z36" s="114"/>
      <c r="AA36" s="114"/>
      <c r="AB36" s="114"/>
      <c r="AC36" s="114"/>
      <c r="AD36" s="121"/>
      <c r="AE36" s="96"/>
      <c r="AF36" s="281">
        <v>35</v>
      </c>
      <c r="AG36" s="291" t="s">
        <v>794</v>
      </c>
      <c r="AH36" s="305">
        <v>5</v>
      </c>
      <c r="AI36" s="305">
        <v>3</v>
      </c>
      <c r="AJ36" s="305">
        <v>3</v>
      </c>
      <c r="AK36" s="305">
        <v>9</v>
      </c>
      <c r="AL36" s="310" t="s">
        <v>859</v>
      </c>
      <c r="AM36" s="320">
        <v>110000</v>
      </c>
      <c r="AN36" s="383"/>
    </row>
    <row r="37" spans="2:44" ht="18" customHeight="1">
      <c r="B37" s="276">
        <v>36</v>
      </c>
      <c r="C37" s="238" t="s">
        <v>699</v>
      </c>
      <c r="D37" s="239"/>
      <c r="K37" s="264"/>
      <c r="L37" s="264"/>
      <c r="M37" s="264"/>
      <c r="N37" s="265">
        <f>IF(ISNUMBER(FIND("M",'Luccini 2019'!O5)),1,0)+IF(ISNUMBER(FIND("M",'Luccini 2019'!P5)),1,0)</f>
        <v>0</v>
      </c>
      <c r="O37" s="264"/>
      <c r="P37" s="265">
        <f>IF(ISNUMBER(FIND("M",R37)),1,0)+IF(ISNUMBER(FIND("M",S37)),1,0)+IF(ISNUMBER(FIND("M",T37)),1,0)+IF(ISNUMBER(FIND("M",U37)),1,0)+IF(ISNUMBER(FIND("M",V37)),1,0)+IF(ISNUMBER(FIND("M",W37)),1,0)</f>
        <v>0</v>
      </c>
      <c r="Q37" s="264"/>
      <c r="R37" s="255">
        <f aca="true" t="shared" si="16" ref="R37:W52">IF(R20="General","G",(IF(R20="Agility","A",(IF(R20="Passing","P",(IF(R20="Strength","S",(IF(R20="Mutation","M",(IF(R20="Increase30",30,(IF(R20="Increase40",40,(IF(R20="Increase50",50,0)))))))))))))))</f>
        <v>0</v>
      </c>
      <c r="S37" s="256">
        <f t="shared" si="16"/>
        <v>0</v>
      </c>
      <c r="T37" s="256">
        <f t="shared" si="16"/>
        <v>0</v>
      </c>
      <c r="U37" s="256">
        <f t="shared" si="16"/>
        <v>0</v>
      </c>
      <c r="V37" s="256">
        <f t="shared" si="16"/>
        <v>0</v>
      </c>
      <c r="W37" s="257">
        <f t="shared" si="16"/>
        <v>0</v>
      </c>
      <c r="Y37" s="95"/>
      <c r="Z37" s="114"/>
      <c r="AA37" s="114"/>
      <c r="AB37" s="114"/>
      <c r="AC37" s="114"/>
      <c r="AD37" s="121"/>
      <c r="AE37" s="96"/>
      <c r="AF37" s="281">
        <v>36</v>
      </c>
      <c r="AG37" s="291" t="s">
        <v>814</v>
      </c>
      <c r="AH37" s="305">
        <v>5</v>
      </c>
      <c r="AI37" s="305">
        <v>3</v>
      </c>
      <c r="AJ37" s="305">
        <v>2</v>
      </c>
      <c r="AK37" s="305">
        <v>8</v>
      </c>
      <c r="AL37" s="310" t="s">
        <v>860</v>
      </c>
      <c r="AM37" s="320">
        <v>120000</v>
      </c>
      <c r="AN37" s="383"/>
      <c r="AP37" s="106">
        <f>IF(AQ37="","",#REF!+1)</f>
      </c>
      <c r="AQ37" s="107"/>
      <c r="AR37" s="108"/>
    </row>
    <row r="38" spans="2:71" ht="18" customHeight="1">
      <c r="B38" s="276">
        <v>37</v>
      </c>
      <c r="C38" s="272" t="s">
        <v>700</v>
      </c>
      <c r="D38" s="241" t="s">
        <v>701</v>
      </c>
      <c r="K38" s="264"/>
      <c r="L38" s="264"/>
      <c r="M38" s="264"/>
      <c r="N38" s="265">
        <f>IF(ISNUMBER(FIND("M",'Luccini 2019'!O6)),1,0)+IF(ISNUMBER(FIND("M",'Luccini 2019'!P6)),1,0)</f>
        <v>0</v>
      </c>
      <c r="O38" s="264"/>
      <c r="P38" s="265">
        <f aca="true" t="shared" si="17" ref="P38:P52">IF(ISNUMBER(FIND("M",R38)),1,0)+IF(ISNUMBER(FIND("M",S38)),1,0)+IF(ISNUMBER(FIND("M",T38)),1,0)+IF(ISNUMBER(FIND("M",U38)),1,0)+IF(ISNUMBER(FIND("M",V38)),1,0)+IF(ISNUMBER(FIND("M",W38)),1,0)</f>
        <v>0</v>
      </c>
      <c r="Q38" s="264"/>
      <c r="R38" s="258">
        <f t="shared" si="16"/>
        <v>0</v>
      </c>
      <c r="S38" s="259">
        <f t="shared" si="16"/>
        <v>0</v>
      </c>
      <c r="T38" s="259">
        <f t="shared" si="16"/>
        <v>0</v>
      </c>
      <c r="U38" s="259">
        <f t="shared" si="16"/>
        <v>0</v>
      </c>
      <c r="V38" s="259">
        <f t="shared" si="16"/>
        <v>0</v>
      </c>
      <c r="W38" s="260">
        <f t="shared" si="16"/>
        <v>0</v>
      </c>
      <c r="Y38" s="95"/>
      <c r="Z38" s="114"/>
      <c r="AA38" s="114"/>
      <c r="AB38" s="114"/>
      <c r="AC38" s="114"/>
      <c r="AD38" s="121"/>
      <c r="AF38" s="281">
        <v>37</v>
      </c>
      <c r="AG38" s="292" t="s">
        <v>831</v>
      </c>
      <c r="AH38" s="306">
        <v>4</v>
      </c>
      <c r="AI38" s="306">
        <v>7</v>
      </c>
      <c r="AJ38" s="306">
        <v>1</v>
      </c>
      <c r="AK38" s="306">
        <v>10</v>
      </c>
      <c r="AL38" s="311" t="s">
        <v>307</v>
      </c>
      <c r="AM38" s="321">
        <v>190000</v>
      </c>
      <c r="AN38" s="384"/>
      <c r="AO38" s="106"/>
      <c r="AP38" s="106">
        <f aca="true" t="shared" si="18" ref="AP38:AP47">IF(AQ38="","",AP37+1)</f>
      </c>
      <c r="AQ38" s="107"/>
      <c r="AR38" s="108"/>
      <c r="AS38" s="105"/>
      <c r="AT38" s="129"/>
      <c r="AU38" s="129"/>
      <c r="AV38" s="129"/>
      <c r="AW38" s="129"/>
      <c r="AX38" s="136"/>
      <c r="AY38" s="136"/>
      <c r="AZ38" s="136"/>
      <c r="BA38" s="129"/>
      <c r="BB38" s="129"/>
      <c r="BC38" s="129"/>
      <c r="BD38" s="129"/>
      <c r="BE38" s="137"/>
      <c r="BF38" s="136"/>
      <c r="BG38" s="129"/>
      <c r="BH38" s="129"/>
      <c r="BI38" s="137"/>
      <c r="BJ38" s="129"/>
      <c r="BK38" s="129"/>
      <c r="BL38" s="129"/>
      <c r="BM38" s="129"/>
      <c r="BN38" s="137"/>
      <c r="BO38" s="129"/>
      <c r="BP38" s="129"/>
      <c r="BQ38" s="129"/>
      <c r="BR38" s="129"/>
      <c r="BS38" s="129"/>
    </row>
    <row r="39" spans="2:71" ht="18" customHeight="1">
      <c r="B39" s="276">
        <v>38</v>
      </c>
      <c r="C39" s="272" t="s">
        <v>702</v>
      </c>
      <c r="D39" s="241" t="s">
        <v>701</v>
      </c>
      <c r="K39" s="264"/>
      <c r="L39" s="264"/>
      <c r="M39" s="264"/>
      <c r="N39" s="265">
        <f>IF(ISNUMBER(FIND("M",'Luccini 2019'!O7)),1,0)+IF(ISNUMBER(FIND("M",'Luccini 2019'!P7)),1,0)</f>
        <v>0</v>
      </c>
      <c r="O39" s="264"/>
      <c r="P39" s="265">
        <f t="shared" si="17"/>
        <v>0</v>
      </c>
      <c r="Q39" s="264"/>
      <c r="R39" s="258">
        <f t="shared" si="16"/>
        <v>0</v>
      </c>
      <c r="S39" s="259">
        <f t="shared" si="16"/>
        <v>0</v>
      </c>
      <c r="T39" s="259">
        <f t="shared" si="16"/>
        <v>0</v>
      </c>
      <c r="U39" s="259">
        <f t="shared" si="16"/>
        <v>0</v>
      </c>
      <c r="V39" s="259">
        <f t="shared" si="16"/>
        <v>0</v>
      </c>
      <c r="W39" s="260">
        <f t="shared" si="16"/>
        <v>0</v>
      </c>
      <c r="AF39" s="281">
        <v>38</v>
      </c>
      <c r="AG39" s="287" t="s">
        <v>745</v>
      </c>
      <c r="AH39" s="301">
        <v>6</v>
      </c>
      <c r="AI39" s="301">
        <v>3</v>
      </c>
      <c r="AJ39" s="301">
        <v>4</v>
      </c>
      <c r="AK39" s="301">
        <v>7</v>
      </c>
      <c r="AL39" s="309" t="s">
        <v>380</v>
      </c>
      <c r="AM39" s="316">
        <v>90000</v>
      </c>
      <c r="AN39" s="388" t="s">
        <v>540</v>
      </c>
      <c r="AO39" s="106"/>
      <c r="AP39" s="106">
        <f t="shared" si="18"/>
      </c>
      <c r="AQ39" s="107"/>
      <c r="AR39" s="108"/>
      <c r="AS39" s="105"/>
      <c r="AT39" s="129"/>
      <c r="AU39" s="129"/>
      <c r="AV39" s="136"/>
      <c r="AW39" s="129"/>
      <c r="AX39" s="129"/>
      <c r="AY39" s="137"/>
      <c r="AZ39" s="137"/>
      <c r="BA39" s="129"/>
      <c r="BB39" s="129"/>
      <c r="BC39" s="129"/>
      <c r="BD39" s="139"/>
      <c r="BE39" s="129"/>
      <c r="BF39" s="129"/>
      <c r="BG39" s="129"/>
      <c r="BH39" s="129"/>
      <c r="BI39" s="129"/>
      <c r="BJ39" s="137"/>
      <c r="BK39" s="129"/>
      <c r="BL39" s="129"/>
      <c r="BM39" s="129"/>
      <c r="BN39" s="129"/>
      <c r="BO39" s="129"/>
      <c r="BP39" s="129"/>
      <c r="BQ39" s="129"/>
      <c r="BR39" s="129"/>
      <c r="BS39" s="129"/>
    </row>
    <row r="40" spans="2:71" ht="18" customHeight="1">
      <c r="B40" s="276">
        <v>39</v>
      </c>
      <c r="C40" s="272" t="s">
        <v>703</v>
      </c>
      <c r="D40" s="241" t="s">
        <v>701</v>
      </c>
      <c r="K40" s="264"/>
      <c r="L40" s="264"/>
      <c r="M40" s="264"/>
      <c r="N40" s="265">
        <f>IF(ISNUMBER(FIND("M",'Luccini 2019'!O8)),1,0)+IF(ISNUMBER(FIND("M",'Luccini 2019'!P8)),1,0)</f>
        <v>0</v>
      </c>
      <c r="O40" s="264"/>
      <c r="P40" s="265">
        <f t="shared" si="17"/>
        <v>0</v>
      </c>
      <c r="Q40" s="264"/>
      <c r="R40" s="258">
        <f t="shared" si="16"/>
        <v>0</v>
      </c>
      <c r="S40" s="259">
        <f t="shared" si="16"/>
        <v>0</v>
      </c>
      <c r="T40" s="259">
        <f t="shared" si="16"/>
        <v>0</v>
      </c>
      <c r="U40" s="259">
        <f t="shared" si="16"/>
        <v>0</v>
      </c>
      <c r="V40" s="259">
        <f t="shared" si="16"/>
        <v>0</v>
      </c>
      <c r="W40" s="260">
        <f t="shared" si="16"/>
        <v>0</v>
      </c>
      <c r="AE40" s="112"/>
      <c r="AF40" s="281">
        <v>39</v>
      </c>
      <c r="AG40" s="288" t="s">
        <v>770</v>
      </c>
      <c r="AH40" s="302">
        <v>6</v>
      </c>
      <c r="AI40" s="302">
        <v>3</v>
      </c>
      <c r="AJ40" s="302">
        <v>4</v>
      </c>
      <c r="AK40" s="302">
        <v>7</v>
      </c>
      <c r="AL40" s="310" t="s">
        <v>861</v>
      </c>
      <c r="AM40" s="317">
        <v>100000</v>
      </c>
      <c r="AN40" s="389"/>
      <c r="AO40" s="106"/>
      <c r="AP40" s="106">
        <f t="shared" si="18"/>
      </c>
      <c r="AQ40" s="107"/>
      <c r="AR40" s="108"/>
      <c r="AS40" s="105"/>
      <c r="AT40" s="129"/>
      <c r="AU40" s="129"/>
      <c r="AV40" s="129"/>
      <c r="AW40" s="129"/>
      <c r="AX40" s="129"/>
      <c r="AY40" s="129"/>
      <c r="AZ40" s="129"/>
      <c r="BA40" s="129"/>
      <c r="BB40" s="137"/>
      <c r="BC40" s="129"/>
      <c r="BD40" s="98"/>
      <c r="BE40" s="129"/>
      <c r="BF40" s="129"/>
      <c r="BG40" s="129"/>
      <c r="BH40" s="129"/>
      <c r="BI40" s="129"/>
      <c r="BJ40" s="129"/>
      <c r="BK40" s="136"/>
      <c r="BL40" s="129"/>
      <c r="BM40" s="129"/>
      <c r="BN40" s="129"/>
      <c r="BO40" s="129"/>
      <c r="BP40" s="129"/>
      <c r="BQ40" s="129"/>
      <c r="BR40" s="98"/>
      <c r="BS40" s="129"/>
    </row>
    <row r="41" spans="2:71" ht="18" customHeight="1">
      <c r="B41" s="276">
        <v>40</v>
      </c>
      <c r="C41" s="272" t="s">
        <v>704</v>
      </c>
      <c r="D41" s="241" t="s">
        <v>701</v>
      </c>
      <c r="K41" s="264"/>
      <c r="L41" s="264"/>
      <c r="M41" s="264"/>
      <c r="N41" s="265">
        <f>IF(ISNUMBER(FIND("M",'Luccini 2019'!O9)),1,0)+IF(ISNUMBER(FIND("M",'Luccini 2019'!P9)),1,0)</f>
        <v>0</v>
      </c>
      <c r="O41" s="264"/>
      <c r="P41" s="265">
        <f t="shared" si="17"/>
        <v>0</v>
      </c>
      <c r="Q41" s="264"/>
      <c r="R41" s="258">
        <f t="shared" si="16"/>
        <v>0</v>
      </c>
      <c r="S41" s="259">
        <f t="shared" si="16"/>
        <v>0</v>
      </c>
      <c r="T41" s="259">
        <f t="shared" si="16"/>
        <v>0</v>
      </c>
      <c r="U41" s="259">
        <f t="shared" si="16"/>
        <v>0</v>
      </c>
      <c r="V41" s="259">
        <f t="shared" si="16"/>
        <v>0</v>
      </c>
      <c r="W41" s="260">
        <f t="shared" si="16"/>
        <v>0</v>
      </c>
      <c r="AE41" s="154"/>
      <c r="AF41" s="281">
        <v>40</v>
      </c>
      <c r="AG41" s="288" t="s">
        <v>795</v>
      </c>
      <c r="AH41" s="302">
        <v>8</v>
      </c>
      <c r="AI41" s="302">
        <v>3</v>
      </c>
      <c r="AJ41" s="302">
        <v>4</v>
      </c>
      <c r="AK41" s="302">
        <v>7</v>
      </c>
      <c r="AL41" s="310" t="s">
        <v>862</v>
      </c>
      <c r="AM41" s="317">
        <v>130000</v>
      </c>
      <c r="AN41" s="389"/>
      <c r="AO41" s="106"/>
      <c r="AP41" s="106">
        <f t="shared" si="18"/>
      </c>
      <c r="AQ41" s="107"/>
      <c r="AR41" s="108"/>
      <c r="AS41" s="105"/>
      <c r="AT41" s="139"/>
      <c r="AU41" s="139"/>
      <c r="AV41" s="139"/>
      <c r="AW41" s="13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98"/>
      <c r="BI41" s="129"/>
      <c r="BJ41" s="129"/>
      <c r="BK41" s="129"/>
      <c r="BL41" s="98"/>
      <c r="BM41" s="129"/>
      <c r="BN41" s="129"/>
      <c r="BO41" s="129"/>
      <c r="BP41" s="129"/>
      <c r="BQ41" s="129"/>
      <c r="BR41" s="98"/>
      <c r="BS41" s="129"/>
    </row>
    <row r="42" spans="2:71" ht="18" customHeight="1">
      <c r="B42" s="276">
        <v>41</v>
      </c>
      <c r="C42" s="272" t="s">
        <v>705</v>
      </c>
      <c r="D42" s="241" t="s">
        <v>701</v>
      </c>
      <c r="K42" s="264"/>
      <c r="L42" s="264"/>
      <c r="M42" s="264"/>
      <c r="N42" s="265">
        <f>IF(ISNUMBER(FIND("M",'Luccini 2019'!O10)),1,0)+IF(ISNUMBER(FIND("M",'Luccini 2019'!P10)),1,0)</f>
        <v>0</v>
      </c>
      <c r="O42" s="264"/>
      <c r="P42" s="265">
        <f t="shared" si="17"/>
        <v>0</v>
      </c>
      <c r="Q42" s="264"/>
      <c r="R42" s="258">
        <f t="shared" si="16"/>
        <v>0</v>
      </c>
      <c r="S42" s="259">
        <f t="shared" si="16"/>
        <v>0</v>
      </c>
      <c r="T42" s="259">
        <f t="shared" si="16"/>
        <v>0</v>
      </c>
      <c r="U42" s="259">
        <f t="shared" si="16"/>
        <v>0</v>
      </c>
      <c r="V42" s="259">
        <f t="shared" si="16"/>
        <v>0</v>
      </c>
      <c r="W42" s="260">
        <f t="shared" si="16"/>
        <v>0</v>
      </c>
      <c r="AE42" s="154"/>
      <c r="AF42" s="281">
        <v>41</v>
      </c>
      <c r="AG42" s="289" t="s">
        <v>815</v>
      </c>
      <c r="AH42" s="303">
        <v>7</v>
      </c>
      <c r="AI42" s="303">
        <v>3</v>
      </c>
      <c r="AJ42" s="303">
        <v>4</v>
      </c>
      <c r="AK42" s="303">
        <v>8</v>
      </c>
      <c r="AL42" s="311" t="s">
        <v>863</v>
      </c>
      <c r="AM42" s="318">
        <v>140000</v>
      </c>
      <c r="AN42" s="390"/>
      <c r="AO42" s="106"/>
      <c r="AP42" s="106">
        <f t="shared" si="18"/>
      </c>
      <c r="AQ42" s="107">
        <f aca="true" t="shared" si="19" ref="AQ42:AQ47">IF(AR42=0,"",AR42)</f>
      </c>
      <c r="AR42" s="108"/>
      <c r="AS42" s="105"/>
      <c r="AT42" s="98"/>
      <c r="AU42" s="98"/>
      <c r="AV42" s="98"/>
      <c r="AW42" s="98"/>
      <c r="AX42" s="129"/>
      <c r="AY42" s="129"/>
      <c r="AZ42" s="129"/>
      <c r="BA42" s="139"/>
      <c r="BB42" s="98"/>
      <c r="BC42" s="129"/>
      <c r="BD42" s="129"/>
      <c r="BE42" s="98"/>
      <c r="BF42" s="129"/>
      <c r="BG42" s="93"/>
      <c r="BH42" s="129"/>
      <c r="BI42" s="129"/>
      <c r="BJ42" s="129"/>
      <c r="BK42" s="129"/>
      <c r="BM42" s="129"/>
      <c r="BN42" s="129"/>
      <c r="BO42" s="129"/>
      <c r="BP42" s="129"/>
      <c r="BQ42" s="129"/>
      <c r="BS42" s="129"/>
    </row>
    <row r="43" spans="2:71" ht="18" customHeight="1">
      <c r="B43" s="276">
        <v>42</v>
      </c>
      <c r="C43" s="272" t="s">
        <v>706</v>
      </c>
      <c r="D43" s="241" t="s">
        <v>701</v>
      </c>
      <c r="K43" s="264"/>
      <c r="L43" s="264"/>
      <c r="M43" s="264"/>
      <c r="N43" s="265">
        <f>IF(ISNUMBER(FIND("M",'Luccini 2019'!O11)),1,0)+IF(ISNUMBER(FIND("M",'Luccini 2019'!P11)),1,0)</f>
        <v>0</v>
      </c>
      <c r="O43" s="264"/>
      <c r="P43" s="265">
        <f t="shared" si="17"/>
        <v>0</v>
      </c>
      <c r="Q43" s="264"/>
      <c r="R43" s="258">
        <f t="shared" si="16"/>
        <v>0</v>
      </c>
      <c r="S43" s="259">
        <f t="shared" si="16"/>
        <v>0</v>
      </c>
      <c r="T43" s="259">
        <f t="shared" si="16"/>
        <v>0</v>
      </c>
      <c r="U43" s="259">
        <f t="shared" si="16"/>
        <v>0</v>
      </c>
      <c r="V43" s="259">
        <f t="shared" si="16"/>
        <v>0</v>
      </c>
      <c r="W43" s="260">
        <f t="shared" si="16"/>
        <v>0</v>
      </c>
      <c r="AE43" s="154"/>
      <c r="AF43" s="281">
        <v>42</v>
      </c>
      <c r="AG43" s="287" t="s">
        <v>746</v>
      </c>
      <c r="AH43" s="301">
        <v>6</v>
      </c>
      <c r="AI43" s="301">
        <v>2</v>
      </c>
      <c r="AJ43" s="301">
        <v>3</v>
      </c>
      <c r="AK43" s="301">
        <v>7</v>
      </c>
      <c r="AL43" s="309" t="s">
        <v>221</v>
      </c>
      <c r="AM43" s="316">
        <v>70000</v>
      </c>
      <c r="AN43" s="382" t="s">
        <v>27</v>
      </c>
      <c r="AO43" s="106"/>
      <c r="AP43" s="106">
        <f t="shared" si="18"/>
      </c>
      <c r="AQ43" s="107">
        <f t="shared" si="19"/>
      </c>
      <c r="AR43" s="108"/>
      <c r="AS43" s="105"/>
      <c r="AT43" s="98"/>
      <c r="AU43" s="98"/>
      <c r="AV43" s="129"/>
      <c r="AW43" s="93"/>
      <c r="AX43" s="129"/>
      <c r="AY43" s="98"/>
      <c r="AZ43" s="98"/>
      <c r="BA43" s="98"/>
      <c r="BB43" s="98"/>
      <c r="BC43" s="129"/>
      <c r="BD43" s="129"/>
      <c r="BE43" s="98"/>
      <c r="BF43" s="98"/>
      <c r="BG43" s="129"/>
      <c r="BH43" s="129"/>
      <c r="BI43" s="98"/>
      <c r="BJ43" s="139"/>
      <c r="BK43" s="98"/>
      <c r="BM43" s="129"/>
      <c r="BN43" s="129"/>
      <c r="BO43" s="98"/>
      <c r="BP43" s="129"/>
      <c r="BQ43" s="93"/>
      <c r="BR43" s="129"/>
      <c r="BS43" s="98"/>
    </row>
    <row r="44" spans="2:71" ht="18" customHeight="1">
      <c r="B44" s="276">
        <v>43</v>
      </c>
      <c r="C44" s="272" t="s">
        <v>707</v>
      </c>
      <c r="D44" s="241" t="s">
        <v>701</v>
      </c>
      <c r="K44" s="264"/>
      <c r="L44" s="264"/>
      <c r="M44" s="264"/>
      <c r="N44" s="265">
        <f>IF(ISNUMBER(FIND("M",'Luccini 2019'!O12)),1,0)+IF(ISNUMBER(FIND("M",'Luccini 2019'!P12)),1,0)</f>
        <v>0</v>
      </c>
      <c r="O44" s="264"/>
      <c r="P44" s="265">
        <f t="shared" si="17"/>
        <v>0</v>
      </c>
      <c r="Q44" s="264"/>
      <c r="R44" s="258">
        <f t="shared" si="16"/>
        <v>0</v>
      </c>
      <c r="S44" s="259">
        <f t="shared" si="16"/>
        <v>0</v>
      </c>
      <c r="T44" s="259">
        <f t="shared" si="16"/>
        <v>0</v>
      </c>
      <c r="U44" s="259">
        <f t="shared" si="16"/>
        <v>0</v>
      </c>
      <c r="V44" s="259">
        <f t="shared" si="16"/>
        <v>0</v>
      </c>
      <c r="W44" s="260">
        <f t="shared" si="16"/>
        <v>0</v>
      </c>
      <c r="AE44" s="154"/>
      <c r="AF44" s="281">
        <v>43</v>
      </c>
      <c r="AG44" s="288" t="s">
        <v>771</v>
      </c>
      <c r="AH44" s="302">
        <v>6</v>
      </c>
      <c r="AI44" s="302">
        <v>2</v>
      </c>
      <c r="AJ44" s="302">
        <v>3</v>
      </c>
      <c r="AK44" s="302">
        <v>7</v>
      </c>
      <c r="AL44" s="310" t="s">
        <v>864</v>
      </c>
      <c r="AM44" s="317">
        <v>70000</v>
      </c>
      <c r="AN44" s="383"/>
      <c r="AO44" s="106"/>
      <c r="AP44" s="106">
        <f t="shared" si="18"/>
      </c>
      <c r="AQ44" s="107">
        <f t="shared" si="19"/>
      </c>
      <c r="AR44" s="108"/>
      <c r="AS44" s="105"/>
      <c r="AV44" s="129"/>
      <c r="AW44" s="93"/>
      <c r="AX44" s="129"/>
      <c r="AY44" s="129"/>
      <c r="AZ44" s="129"/>
      <c r="BA44" s="98"/>
      <c r="BB44" s="98"/>
      <c r="BC44" s="98"/>
      <c r="BD44" s="129"/>
      <c r="BE44" s="98"/>
      <c r="BF44" s="98"/>
      <c r="BG44" s="129"/>
      <c r="BH44" s="129"/>
      <c r="BI44" s="98"/>
      <c r="BJ44" s="98"/>
      <c r="BK44" s="129"/>
      <c r="BL44" s="129"/>
      <c r="BM44" s="98"/>
      <c r="BN44" s="98"/>
      <c r="BO44" s="98"/>
      <c r="BP44" s="129"/>
      <c r="BQ44" s="93"/>
      <c r="BR44" s="129"/>
      <c r="BS44" s="98"/>
    </row>
    <row r="45" spans="2:71" ht="18" customHeight="1">
      <c r="B45" s="276">
        <v>44</v>
      </c>
      <c r="C45" s="272" t="s">
        <v>708</v>
      </c>
      <c r="D45" s="241" t="s">
        <v>701</v>
      </c>
      <c r="K45" s="264"/>
      <c r="L45" s="264"/>
      <c r="M45" s="264"/>
      <c r="N45" s="265">
        <f>IF(ISNUMBER(FIND("M",'Luccini 2019'!O13)),1,0)+IF(ISNUMBER(FIND("M",'Luccini 2019'!P13)),1,0)</f>
        <v>0</v>
      </c>
      <c r="O45" s="264"/>
      <c r="P45" s="265">
        <f t="shared" si="17"/>
        <v>0</v>
      </c>
      <c r="Q45" s="264"/>
      <c r="R45" s="258">
        <f t="shared" si="16"/>
        <v>0</v>
      </c>
      <c r="S45" s="259">
        <f t="shared" si="16"/>
        <v>0</v>
      </c>
      <c r="T45" s="259">
        <f t="shared" si="16"/>
        <v>0</v>
      </c>
      <c r="U45" s="259">
        <f t="shared" si="16"/>
        <v>0</v>
      </c>
      <c r="V45" s="259">
        <f t="shared" si="16"/>
        <v>0</v>
      </c>
      <c r="W45" s="260">
        <f t="shared" si="16"/>
        <v>0</v>
      </c>
      <c r="AE45" s="154"/>
      <c r="AF45" s="281">
        <v>44</v>
      </c>
      <c r="AG45" s="288" t="s">
        <v>796</v>
      </c>
      <c r="AH45" s="302">
        <v>6</v>
      </c>
      <c r="AI45" s="302">
        <v>2</v>
      </c>
      <c r="AJ45" s="302">
        <v>3</v>
      </c>
      <c r="AK45" s="302">
        <v>7</v>
      </c>
      <c r="AL45" s="310" t="s">
        <v>865</v>
      </c>
      <c r="AM45" s="317">
        <v>70000</v>
      </c>
      <c r="AN45" s="383"/>
      <c r="AO45" s="106"/>
      <c r="AP45" s="106">
        <f t="shared" si="18"/>
      </c>
      <c r="AQ45" s="107">
        <f t="shared" si="19"/>
      </c>
      <c r="AR45" s="108"/>
      <c r="AS45" s="105"/>
      <c r="AV45" s="129"/>
      <c r="AW45" s="110"/>
      <c r="AX45" s="93"/>
      <c r="AY45" s="129"/>
      <c r="AZ45" s="129"/>
      <c r="BA45" s="98"/>
      <c r="BB45" s="98"/>
      <c r="BC45" s="98"/>
      <c r="BD45" s="109"/>
      <c r="BE45" s="98"/>
      <c r="BF45" s="98"/>
      <c r="BG45" s="129"/>
      <c r="BH45" s="129"/>
      <c r="BI45" s="93"/>
      <c r="BJ45" s="98"/>
      <c r="BK45" s="129"/>
      <c r="BL45" s="129"/>
      <c r="BM45" s="98"/>
      <c r="BN45" s="98"/>
      <c r="BO45" s="98"/>
      <c r="BP45" s="129"/>
      <c r="BQ45" s="93"/>
      <c r="BR45" s="129"/>
      <c r="BS45" s="98"/>
    </row>
    <row r="46" spans="2:71" ht="18" customHeight="1">
      <c r="B46" s="276">
        <v>45</v>
      </c>
      <c r="C46" s="272" t="s">
        <v>709</v>
      </c>
      <c r="D46" s="241" t="s">
        <v>701</v>
      </c>
      <c r="K46" s="264"/>
      <c r="L46" s="264"/>
      <c r="M46" s="264"/>
      <c r="N46" s="265">
        <f>IF(ISNUMBER(FIND("M",'Luccini 2019'!O14)),1,0)+IF(ISNUMBER(FIND("M",'Luccini 2019'!P14)),1,0)</f>
        <v>0</v>
      </c>
      <c r="O46" s="264"/>
      <c r="P46" s="265">
        <f t="shared" si="17"/>
        <v>0</v>
      </c>
      <c r="Q46" s="264"/>
      <c r="R46" s="258">
        <f t="shared" si="16"/>
        <v>0</v>
      </c>
      <c r="S46" s="259">
        <f t="shared" si="16"/>
        <v>0</v>
      </c>
      <c r="T46" s="259">
        <f t="shared" si="16"/>
        <v>0</v>
      </c>
      <c r="U46" s="259">
        <f t="shared" si="16"/>
        <v>0</v>
      </c>
      <c r="V46" s="259">
        <f t="shared" si="16"/>
        <v>0</v>
      </c>
      <c r="W46" s="260">
        <f t="shared" si="16"/>
        <v>0</v>
      </c>
      <c r="AE46" s="154"/>
      <c r="AF46" s="281">
        <v>45</v>
      </c>
      <c r="AG46" s="288" t="s">
        <v>898</v>
      </c>
      <c r="AH46" s="302">
        <v>6</v>
      </c>
      <c r="AI46" s="302">
        <v>2</v>
      </c>
      <c r="AJ46" s="302">
        <v>3</v>
      </c>
      <c r="AK46" s="302">
        <v>7</v>
      </c>
      <c r="AL46" s="310" t="s">
        <v>901</v>
      </c>
      <c r="AM46" s="317">
        <v>60000</v>
      </c>
      <c r="AN46" s="383"/>
      <c r="AO46" s="106"/>
      <c r="AP46" s="106">
        <f t="shared" si="18"/>
      </c>
      <c r="AQ46" s="107">
        <f t="shared" si="19"/>
      </c>
      <c r="AR46" s="108"/>
      <c r="AS46" s="105"/>
      <c r="AT46" s="98"/>
      <c r="AU46" s="98"/>
      <c r="AV46" s="109"/>
      <c r="AW46" s="110"/>
      <c r="AX46" s="93"/>
      <c r="AY46" s="109"/>
      <c r="AZ46" s="109"/>
      <c r="BA46" s="98"/>
      <c r="BB46" s="98"/>
      <c r="BC46" s="109"/>
      <c r="BD46" s="109"/>
      <c r="BE46" s="109"/>
      <c r="BF46" s="98"/>
      <c r="BG46" s="129"/>
      <c r="BH46" s="129"/>
      <c r="BI46" s="110"/>
      <c r="BJ46" s="110"/>
      <c r="BK46" s="110"/>
      <c r="BL46" s="129"/>
      <c r="BM46" s="98"/>
      <c r="BN46" s="109"/>
      <c r="BO46" s="98"/>
      <c r="BP46" s="129"/>
      <c r="BQ46" s="93"/>
      <c r="BR46" s="145"/>
      <c r="BS46" s="98"/>
    </row>
    <row r="47" spans="2:71" ht="18" customHeight="1">
      <c r="B47" s="276">
        <v>46</v>
      </c>
      <c r="C47" s="272" t="s">
        <v>710</v>
      </c>
      <c r="D47" s="241" t="s">
        <v>701</v>
      </c>
      <c r="K47" s="264"/>
      <c r="L47" s="264"/>
      <c r="M47" s="264"/>
      <c r="N47" s="265">
        <f>IF(ISNUMBER(FIND("M",'Luccini 2019'!O15)),1,0)+IF(ISNUMBER(FIND("M",'Luccini 2019'!P15)),1,0)</f>
        <v>0</v>
      </c>
      <c r="O47" s="264"/>
      <c r="P47" s="265">
        <f t="shared" si="17"/>
        <v>0</v>
      </c>
      <c r="Q47" s="264"/>
      <c r="R47" s="258">
        <f t="shared" si="16"/>
        <v>0</v>
      </c>
      <c r="S47" s="259">
        <f t="shared" si="16"/>
        <v>0</v>
      </c>
      <c r="T47" s="259">
        <f t="shared" si="16"/>
        <v>0</v>
      </c>
      <c r="U47" s="259">
        <f t="shared" si="16"/>
        <v>0</v>
      </c>
      <c r="V47" s="259">
        <f t="shared" si="16"/>
        <v>0</v>
      </c>
      <c r="W47" s="260">
        <f t="shared" si="16"/>
        <v>0</v>
      </c>
      <c r="AE47" s="154"/>
      <c r="AF47" s="281">
        <v>46</v>
      </c>
      <c r="AG47" s="288" t="s">
        <v>816</v>
      </c>
      <c r="AH47" s="302">
        <v>3</v>
      </c>
      <c r="AI47" s="302">
        <v>7</v>
      </c>
      <c r="AJ47" s="302">
        <v>3</v>
      </c>
      <c r="AK47" s="302">
        <v>7</v>
      </c>
      <c r="AL47" s="310" t="s">
        <v>866</v>
      </c>
      <c r="AM47" s="317">
        <v>100000</v>
      </c>
      <c r="AN47" s="383"/>
      <c r="AO47" s="106"/>
      <c r="AP47" s="106">
        <f t="shared" si="18"/>
      </c>
      <c r="AQ47" s="107">
        <f t="shared" si="19"/>
      </c>
      <c r="AR47" s="108"/>
      <c r="AS47" s="105"/>
      <c r="AV47" s="109"/>
      <c r="AW47" s="110"/>
      <c r="AX47" s="110"/>
      <c r="AY47" s="109"/>
      <c r="AZ47" s="109"/>
      <c r="BA47" s="110"/>
      <c r="BB47" s="98"/>
      <c r="BC47" s="109"/>
      <c r="BD47" s="109"/>
      <c r="BE47" s="109"/>
      <c r="BF47" s="98"/>
      <c r="BG47" s="109"/>
      <c r="BH47" s="110"/>
      <c r="BI47" s="110"/>
      <c r="BJ47" s="110"/>
      <c r="BK47" s="110"/>
      <c r="BL47" s="110"/>
      <c r="BM47" s="98"/>
      <c r="BN47" s="109"/>
      <c r="BO47" s="110"/>
      <c r="BP47" s="110"/>
      <c r="BQ47" s="109"/>
      <c r="BR47" s="110"/>
      <c r="BS47" s="98"/>
    </row>
    <row r="48" spans="2:71" ht="18" customHeight="1">
      <c r="B48" s="276">
        <v>47</v>
      </c>
      <c r="C48" s="238" t="s">
        <v>711</v>
      </c>
      <c r="D48" s="239"/>
      <c r="K48" s="264"/>
      <c r="L48" s="264"/>
      <c r="M48" s="264"/>
      <c r="N48" s="265">
        <f>IF(ISNUMBER(FIND("M",'Luccini 2019'!O16)),1,0)+IF(ISNUMBER(FIND("M",'Luccini 2019'!P16)),1,0)</f>
        <v>0</v>
      </c>
      <c r="O48" s="264"/>
      <c r="P48" s="265">
        <f t="shared" si="17"/>
        <v>0</v>
      </c>
      <c r="Q48" s="264"/>
      <c r="R48" s="258">
        <f t="shared" si="16"/>
        <v>0</v>
      </c>
      <c r="S48" s="259">
        <f t="shared" si="16"/>
        <v>0</v>
      </c>
      <c r="T48" s="259">
        <f t="shared" si="16"/>
        <v>0</v>
      </c>
      <c r="U48" s="259">
        <f t="shared" si="16"/>
        <v>0</v>
      </c>
      <c r="V48" s="259">
        <f t="shared" si="16"/>
        <v>0</v>
      </c>
      <c r="W48" s="260">
        <f t="shared" si="16"/>
        <v>0</v>
      </c>
      <c r="AE48" s="154"/>
      <c r="AF48" s="281">
        <v>47</v>
      </c>
      <c r="AG48" s="288" t="s">
        <v>897</v>
      </c>
      <c r="AH48" s="302">
        <v>6</v>
      </c>
      <c r="AI48" s="302">
        <v>2</v>
      </c>
      <c r="AJ48" s="302">
        <v>3</v>
      </c>
      <c r="AK48" s="302">
        <v>7</v>
      </c>
      <c r="AL48" s="310" t="s">
        <v>900</v>
      </c>
      <c r="AM48" s="317">
        <v>70000</v>
      </c>
      <c r="AN48" s="383"/>
      <c r="AO48" s="106"/>
      <c r="AS48" s="105"/>
      <c r="AV48" s="109"/>
      <c r="AW48" s="110"/>
      <c r="AX48" s="110"/>
      <c r="AY48" s="109"/>
      <c r="AZ48" s="109"/>
      <c r="BA48" s="110"/>
      <c r="BB48" s="98"/>
      <c r="BC48" s="109"/>
      <c r="BD48" s="109"/>
      <c r="BE48" s="109"/>
      <c r="BF48" s="98"/>
      <c r="BG48" s="109"/>
      <c r="BH48" s="110"/>
      <c r="BI48" s="110"/>
      <c r="BJ48" s="110"/>
      <c r="BK48" s="110"/>
      <c r="BL48" s="110"/>
      <c r="BM48" s="110"/>
      <c r="BN48" s="109"/>
      <c r="BO48" s="110"/>
      <c r="BP48" s="110"/>
      <c r="BQ48" s="109"/>
      <c r="BR48" s="110"/>
      <c r="BS48" s="109"/>
    </row>
    <row r="49" spans="2:45" ht="18" customHeight="1">
      <c r="B49" s="276">
        <v>48</v>
      </c>
      <c r="C49" s="272" t="s">
        <v>712</v>
      </c>
      <c r="D49" s="241" t="s">
        <v>713</v>
      </c>
      <c r="K49" s="264"/>
      <c r="L49" s="264"/>
      <c r="M49" s="264"/>
      <c r="N49" s="265">
        <f>IF(ISNUMBER(FIND("M",'Luccini 2019'!O17)),1,0)+IF(ISNUMBER(FIND("M",'Luccini 2019'!P17)),1,0)</f>
        <v>0</v>
      </c>
      <c r="O49" s="264"/>
      <c r="P49" s="265">
        <f t="shared" si="17"/>
        <v>0</v>
      </c>
      <c r="Q49" s="264"/>
      <c r="R49" s="258">
        <f t="shared" si="16"/>
        <v>0</v>
      </c>
      <c r="S49" s="259">
        <f t="shared" si="16"/>
        <v>0</v>
      </c>
      <c r="T49" s="259">
        <f t="shared" si="16"/>
        <v>0</v>
      </c>
      <c r="U49" s="259">
        <f t="shared" si="16"/>
        <v>0</v>
      </c>
      <c r="V49" s="259">
        <f t="shared" si="16"/>
        <v>0</v>
      </c>
      <c r="W49" s="260">
        <f t="shared" si="16"/>
        <v>0</v>
      </c>
      <c r="AE49" s="154"/>
      <c r="AF49" s="281">
        <v>48</v>
      </c>
      <c r="AG49" s="288" t="s">
        <v>832</v>
      </c>
      <c r="AH49" s="302">
        <v>7</v>
      </c>
      <c r="AI49" s="302">
        <v>2</v>
      </c>
      <c r="AJ49" s="302">
        <v>3</v>
      </c>
      <c r="AK49" s="302">
        <v>7</v>
      </c>
      <c r="AL49" s="310" t="s">
        <v>867</v>
      </c>
      <c r="AM49" s="317">
        <v>100000</v>
      </c>
      <c r="AN49" s="383"/>
      <c r="AS49" s="155"/>
    </row>
    <row r="50" spans="2:45" ht="18" customHeight="1">
      <c r="B50" s="276">
        <v>49</v>
      </c>
      <c r="C50" s="272" t="s">
        <v>714</v>
      </c>
      <c r="D50" s="241" t="s">
        <v>713</v>
      </c>
      <c r="K50" s="264"/>
      <c r="L50" s="264"/>
      <c r="M50" s="264"/>
      <c r="N50" s="265">
        <f>IF(ISNUMBER(FIND("M",'Luccini 2019'!O18)),1,0)+IF(ISNUMBER(FIND("M",'Luccini 2019'!P18)),1,0)</f>
        <v>0</v>
      </c>
      <c r="O50" s="264"/>
      <c r="P50" s="265">
        <f t="shared" si="17"/>
        <v>0</v>
      </c>
      <c r="Q50" s="264"/>
      <c r="R50" s="258">
        <f t="shared" si="16"/>
        <v>0</v>
      </c>
      <c r="S50" s="259">
        <f t="shared" si="16"/>
        <v>0</v>
      </c>
      <c r="T50" s="259">
        <f t="shared" si="16"/>
        <v>0</v>
      </c>
      <c r="U50" s="259">
        <f t="shared" si="16"/>
        <v>0</v>
      </c>
      <c r="V50" s="259">
        <f t="shared" si="16"/>
        <v>0</v>
      </c>
      <c r="W50" s="260">
        <f t="shared" si="16"/>
        <v>0</v>
      </c>
      <c r="AE50" s="154"/>
      <c r="AF50" s="281">
        <v>49</v>
      </c>
      <c r="AG50" s="289" t="s">
        <v>842</v>
      </c>
      <c r="AH50" s="303">
        <v>4</v>
      </c>
      <c r="AI50" s="303">
        <v>5</v>
      </c>
      <c r="AJ50" s="303">
        <v>1</v>
      </c>
      <c r="AK50" s="303">
        <v>9</v>
      </c>
      <c r="AL50" s="311" t="s">
        <v>95</v>
      </c>
      <c r="AM50" s="318">
        <v>140000</v>
      </c>
      <c r="AN50" s="384"/>
      <c r="AS50" s="155"/>
    </row>
    <row r="51" spans="2:45" ht="18" customHeight="1">
      <c r="B51" s="276">
        <v>50</v>
      </c>
      <c r="C51" s="272" t="s">
        <v>715</v>
      </c>
      <c r="D51" s="241" t="s">
        <v>713</v>
      </c>
      <c r="K51" s="264"/>
      <c r="L51" s="264"/>
      <c r="M51" s="264"/>
      <c r="N51" s="265">
        <f>IF(ISNUMBER(FIND("M",'Luccini 2019'!O19)),1,0)+IF(ISNUMBER(FIND("M",'Luccini 2019'!P19)),1,0)</f>
        <v>0</v>
      </c>
      <c r="O51" s="264"/>
      <c r="P51" s="265">
        <f t="shared" si="17"/>
        <v>0</v>
      </c>
      <c r="Q51" s="264"/>
      <c r="R51" s="258">
        <f t="shared" si="16"/>
        <v>0</v>
      </c>
      <c r="S51" s="259">
        <f t="shared" si="16"/>
        <v>0</v>
      </c>
      <c r="T51" s="259">
        <f t="shared" si="16"/>
        <v>0</v>
      </c>
      <c r="U51" s="259">
        <f t="shared" si="16"/>
        <v>0</v>
      </c>
      <c r="V51" s="259">
        <f t="shared" si="16"/>
        <v>0</v>
      </c>
      <c r="W51" s="260">
        <f t="shared" si="16"/>
        <v>0</v>
      </c>
      <c r="AE51" s="154"/>
      <c r="AF51" s="281">
        <v>50</v>
      </c>
      <c r="AG51" s="290" t="s">
        <v>747</v>
      </c>
      <c r="AH51" s="301">
        <v>5</v>
      </c>
      <c r="AI51" s="301">
        <v>2</v>
      </c>
      <c r="AJ51" s="301">
        <v>3</v>
      </c>
      <c r="AK51" s="301">
        <v>6</v>
      </c>
      <c r="AL51" s="309" t="s">
        <v>221</v>
      </c>
      <c r="AM51" s="316">
        <v>60000</v>
      </c>
      <c r="AN51" s="388" t="s">
        <v>29</v>
      </c>
      <c r="AS51" s="155"/>
    </row>
    <row r="52" spans="2:45" ht="18" customHeight="1">
      <c r="B52" s="276">
        <v>51</v>
      </c>
      <c r="C52" s="272" t="s">
        <v>716</v>
      </c>
      <c r="D52" s="241" t="s">
        <v>713</v>
      </c>
      <c r="K52" s="264"/>
      <c r="L52" s="264"/>
      <c r="M52" s="264"/>
      <c r="N52" s="265">
        <f>IF(ISNUMBER(FIND("M",'Luccini 2019'!O20)),1,0)+IF(ISNUMBER(FIND("M",'Luccini 2019'!P20)),1,0)</f>
        <v>0</v>
      </c>
      <c r="O52" s="264"/>
      <c r="P52" s="265">
        <f t="shared" si="17"/>
        <v>0</v>
      </c>
      <c r="Q52" s="264"/>
      <c r="R52" s="261">
        <f t="shared" si="16"/>
        <v>0</v>
      </c>
      <c r="S52" s="262">
        <f t="shared" si="16"/>
        <v>0</v>
      </c>
      <c r="T52" s="262">
        <f t="shared" si="16"/>
        <v>0</v>
      </c>
      <c r="U52" s="262">
        <f t="shared" si="16"/>
        <v>0</v>
      </c>
      <c r="V52" s="262">
        <f t="shared" si="16"/>
        <v>0</v>
      </c>
      <c r="W52" s="263">
        <f t="shared" si="16"/>
        <v>0</v>
      </c>
      <c r="AE52" s="154"/>
      <c r="AF52" s="281">
        <v>51</v>
      </c>
      <c r="AG52" s="289" t="s">
        <v>772</v>
      </c>
      <c r="AH52" s="303">
        <v>2</v>
      </c>
      <c r="AI52" s="303">
        <v>6</v>
      </c>
      <c r="AJ52" s="303">
        <v>1</v>
      </c>
      <c r="AK52" s="303">
        <v>10</v>
      </c>
      <c r="AL52" s="311" t="s">
        <v>868</v>
      </c>
      <c r="AM52" s="318">
        <v>150000</v>
      </c>
      <c r="AN52" s="390"/>
      <c r="AS52" s="155"/>
    </row>
    <row r="53" spans="2:45" ht="18" customHeight="1">
      <c r="B53" s="276">
        <v>52</v>
      </c>
      <c r="C53" s="272" t="s">
        <v>717</v>
      </c>
      <c r="D53" s="241" t="s">
        <v>713</v>
      </c>
      <c r="AE53" s="154"/>
      <c r="AF53" s="281">
        <v>52</v>
      </c>
      <c r="AG53" s="287" t="s">
        <v>748</v>
      </c>
      <c r="AH53" s="301">
        <v>6</v>
      </c>
      <c r="AI53" s="301">
        <v>3</v>
      </c>
      <c r="AJ53" s="301">
        <v>4</v>
      </c>
      <c r="AK53" s="301">
        <v>8</v>
      </c>
      <c r="AL53" s="309" t="s">
        <v>380</v>
      </c>
      <c r="AM53" s="316">
        <v>100000</v>
      </c>
      <c r="AN53" s="382" t="s">
        <v>98</v>
      </c>
      <c r="AS53" s="155"/>
    </row>
    <row r="54" spans="2:45" ht="18" customHeight="1">
      <c r="B54" s="276">
        <v>53</v>
      </c>
      <c r="C54" s="272" t="s">
        <v>65</v>
      </c>
      <c r="D54" s="241" t="s">
        <v>713</v>
      </c>
      <c r="AE54" s="154"/>
      <c r="AF54" s="281">
        <v>53</v>
      </c>
      <c r="AG54" s="288" t="s">
        <v>773</v>
      </c>
      <c r="AH54" s="302">
        <v>6</v>
      </c>
      <c r="AI54" s="302">
        <v>3</v>
      </c>
      <c r="AJ54" s="302">
        <v>4</v>
      </c>
      <c r="AK54" s="302">
        <v>8</v>
      </c>
      <c r="AL54" s="310" t="s">
        <v>869</v>
      </c>
      <c r="AM54" s="317">
        <v>120000</v>
      </c>
      <c r="AN54" s="383"/>
      <c r="AS54" s="155"/>
    </row>
    <row r="55" spans="2:45" ht="18" customHeight="1">
      <c r="B55" s="276">
        <v>54</v>
      </c>
      <c r="C55" s="272" t="s">
        <v>718</v>
      </c>
      <c r="D55" s="241" t="s">
        <v>713</v>
      </c>
      <c r="AE55" s="154"/>
      <c r="AF55" s="281">
        <v>54</v>
      </c>
      <c r="AG55" s="288" t="s">
        <v>797</v>
      </c>
      <c r="AH55" s="302">
        <v>8</v>
      </c>
      <c r="AI55" s="302">
        <v>3</v>
      </c>
      <c r="AJ55" s="302">
        <v>4</v>
      </c>
      <c r="AK55" s="302">
        <v>7</v>
      </c>
      <c r="AL55" s="310" t="s">
        <v>870</v>
      </c>
      <c r="AM55" s="317">
        <v>120000</v>
      </c>
      <c r="AN55" s="383"/>
      <c r="AS55" s="155"/>
    </row>
    <row r="56" spans="2:45" ht="18" customHeight="1">
      <c r="B56" s="276">
        <v>55</v>
      </c>
      <c r="C56" s="272" t="s">
        <v>719</v>
      </c>
      <c r="D56" s="241" t="s">
        <v>713</v>
      </c>
      <c r="AE56" s="154"/>
      <c r="AF56" s="281">
        <v>55</v>
      </c>
      <c r="AG56" s="289" t="s">
        <v>817</v>
      </c>
      <c r="AH56" s="303">
        <v>7</v>
      </c>
      <c r="AI56" s="303">
        <v>3</v>
      </c>
      <c r="AJ56" s="303">
        <v>4</v>
      </c>
      <c r="AK56" s="303">
        <v>8</v>
      </c>
      <c r="AL56" s="311" t="s">
        <v>391</v>
      </c>
      <c r="AM56" s="318">
        <v>130000</v>
      </c>
      <c r="AN56" s="384"/>
      <c r="AS56" s="155"/>
    </row>
    <row r="57" spans="2:45" ht="18" customHeight="1">
      <c r="B57" s="276">
        <v>56</v>
      </c>
      <c r="C57" s="272" t="s">
        <v>720</v>
      </c>
      <c r="D57" s="241" t="s">
        <v>713</v>
      </c>
      <c r="AE57" s="154"/>
      <c r="AF57" s="281">
        <v>56</v>
      </c>
      <c r="AG57" s="287" t="s">
        <v>749</v>
      </c>
      <c r="AH57" s="304">
        <v>6</v>
      </c>
      <c r="AI57" s="304">
        <v>3</v>
      </c>
      <c r="AJ57" s="304">
        <v>3</v>
      </c>
      <c r="AK57" s="304">
        <v>8</v>
      </c>
      <c r="AL57" s="309" t="s">
        <v>380</v>
      </c>
      <c r="AM57" s="319">
        <v>80000</v>
      </c>
      <c r="AN57" s="388" t="s">
        <v>101</v>
      </c>
      <c r="AS57" s="155"/>
    </row>
    <row r="58" spans="2:45" ht="18" customHeight="1">
      <c r="B58" s="276">
        <v>57</v>
      </c>
      <c r="C58" s="272" t="s">
        <v>721</v>
      </c>
      <c r="D58" s="241" t="s">
        <v>713</v>
      </c>
      <c r="AE58" s="154"/>
      <c r="AF58" s="281">
        <v>57</v>
      </c>
      <c r="AG58" s="288" t="s">
        <v>774</v>
      </c>
      <c r="AH58" s="305">
        <v>8</v>
      </c>
      <c r="AI58" s="305">
        <v>2</v>
      </c>
      <c r="AJ58" s="305">
        <v>3</v>
      </c>
      <c r="AK58" s="305">
        <v>7</v>
      </c>
      <c r="AL58" s="310" t="s">
        <v>871</v>
      </c>
      <c r="AM58" s="320">
        <v>100000</v>
      </c>
      <c r="AN58" s="389"/>
      <c r="AS58" s="155"/>
    </row>
    <row r="59" spans="2:45" ht="18" customHeight="1">
      <c r="B59" s="276">
        <v>58</v>
      </c>
      <c r="C59" s="238" t="s">
        <v>722</v>
      </c>
      <c r="D59" s="239"/>
      <c r="AE59" s="154"/>
      <c r="AF59" s="281">
        <v>58</v>
      </c>
      <c r="AG59" s="288" t="s">
        <v>798</v>
      </c>
      <c r="AH59" s="305">
        <v>6</v>
      </c>
      <c r="AI59" s="305">
        <v>3</v>
      </c>
      <c r="AJ59" s="305">
        <v>3</v>
      </c>
      <c r="AK59" s="305">
        <v>8</v>
      </c>
      <c r="AL59" s="310" t="s">
        <v>872</v>
      </c>
      <c r="AM59" s="320">
        <v>100000</v>
      </c>
      <c r="AN59" s="389"/>
      <c r="AS59" s="155"/>
    </row>
    <row r="60" spans="2:45" ht="18" customHeight="1">
      <c r="B60" s="276">
        <v>59</v>
      </c>
      <c r="C60" s="273" t="s">
        <v>723</v>
      </c>
      <c r="D60" s="241" t="s">
        <v>724</v>
      </c>
      <c r="AE60" s="154"/>
      <c r="AF60" s="281">
        <v>59</v>
      </c>
      <c r="AG60" s="288" t="s">
        <v>818</v>
      </c>
      <c r="AH60" s="305">
        <v>7</v>
      </c>
      <c r="AI60" s="305">
        <v>3</v>
      </c>
      <c r="AJ60" s="305">
        <v>3</v>
      </c>
      <c r="AK60" s="305">
        <v>8</v>
      </c>
      <c r="AL60" s="310" t="s">
        <v>391</v>
      </c>
      <c r="AM60" s="320">
        <v>120000</v>
      </c>
      <c r="AN60" s="389"/>
      <c r="AS60" s="155"/>
    </row>
    <row r="61" spans="2:45" ht="18" customHeight="1">
      <c r="B61" s="276">
        <v>60</v>
      </c>
      <c r="C61" s="273" t="s">
        <v>725</v>
      </c>
      <c r="D61" s="241" t="s">
        <v>724</v>
      </c>
      <c r="AE61" s="154"/>
      <c r="AF61" s="281">
        <v>60</v>
      </c>
      <c r="AG61" s="292" t="s">
        <v>833</v>
      </c>
      <c r="AH61" s="306">
        <v>5</v>
      </c>
      <c r="AI61" s="306">
        <v>5</v>
      </c>
      <c r="AJ61" s="306">
        <v>2</v>
      </c>
      <c r="AK61" s="306">
        <v>9</v>
      </c>
      <c r="AL61" s="311" t="s">
        <v>105</v>
      </c>
      <c r="AM61" s="321">
        <v>170000</v>
      </c>
      <c r="AN61" s="390"/>
      <c r="AS61" s="155"/>
    </row>
    <row r="62" spans="2:45" ht="18" customHeight="1">
      <c r="B62" s="276">
        <v>61</v>
      </c>
      <c r="C62" s="273" t="s">
        <v>726</v>
      </c>
      <c r="D62" s="241" t="s">
        <v>727</v>
      </c>
      <c r="AE62" s="154"/>
      <c r="AF62" s="281">
        <v>61</v>
      </c>
      <c r="AG62" s="287" t="s">
        <v>750</v>
      </c>
      <c r="AH62" s="301">
        <v>5</v>
      </c>
      <c r="AI62" s="301">
        <v>3</v>
      </c>
      <c r="AJ62" s="301">
        <v>2</v>
      </c>
      <c r="AK62" s="301">
        <v>7</v>
      </c>
      <c r="AL62" s="309" t="s">
        <v>386</v>
      </c>
      <c r="AM62" s="316">
        <v>70000</v>
      </c>
      <c r="AN62" s="382" t="s">
        <v>509</v>
      </c>
      <c r="AS62" s="155"/>
    </row>
    <row r="63" spans="2:45" ht="18" customHeight="1">
      <c r="B63" s="277">
        <v>62</v>
      </c>
      <c r="C63" s="274" t="s">
        <v>728</v>
      </c>
      <c r="D63" s="242" t="s">
        <v>729</v>
      </c>
      <c r="AE63" s="154"/>
      <c r="AF63" s="281">
        <v>62</v>
      </c>
      <c r="AG63" s="288" t="s">
        <v>775</v>
      </c>
      <c r="AH63" s="302">
        <v>6</v>
      </c>
      <c r="AI63" s="302">
        <v>3</v>
      </c>
      <c r="AJ63" s="302">
        <v>2</v>
      </c>
      <c r="AK63" s="302">
        <v>7</v>
      </c>
      <c r="AL63" s="310" t="s">
        <v>873</v>
      </c>
      <c r="AM63" s="317">
        <v>100000</v>
      </c>
      <c r="AN63" s="383"/>
      <c r="AS63" s="155"/>
    </row>
    <row r="64" spans="3:45" ht="18" customHeight="1">
      <c r="C64" s="238"/>
      <c r="AE64" s="154"/>
      <c r="AF64" s="281">
        <v>63</v>
      </c>
      <c r="AG64" s="288" t="s">
        <v>799</v>
      </c>
      <c r="AH64" s="302">
        <v>6</v>
      </c>
      <c r="AI64" s="302">
        <v>3</v>
      </c>
      <c r="AJ64" s="302">
        <v>2</v>
      </c>
      <c r="AK64" s="302">
        <v>8</v>
      </c>
      <c r="AL64" s="310" t="s">
        <v>874</v>
      </c>
      <c r="AM64" s="317">
        <v>120000</v>
      </c>
      <c r="AN64" s="383"/>
      <c r="AS64" s="155"/>
    </row>
    <row r="65" spans="3:45" ht="18" customHeight="1">
      <c r="C65" s="326"/>
      <c r="D65" s="327"/>
      <c r="AF65" s="281">
        <v>64</v>
      </c>
      <c r="AG65" s="289" t="s">
        <v>819</v>
      </c>
      <c r="AH65" s="303">
        <v>4</v>
      </c>
      <c r="AI65" s="303">
        <v>5</v>
      </c>
      <c r="AJ65" s="303">
        <v>1</v>
      </c>
      <c r="AK65" s="303">
        <v>9</v>
      </c>
      <c r="AL65" s="311" t="s">
        <v>875</v>
      </c>
      <c r="AM65" s="321">
        <v>130000</v>
      </c>
      <c r="AN65" s="384"/>
      <c r="AS65" s="155"/>
    </row>
    <row r="66" spans="3:45" ht="18" customHeight="1">
      <c r="C66" s="326"/>
      <c r="D66" s="327"/>
      <c r="AF66" s="281">
        <v>65</v>
      </c>
      <c r="AG66" s="287" t="s">
        <v>751</v>
      </c>
      <c r="AH66" s="304">
        <v>8</v>
      </c>
      <c r="AI66" s="304">
        <v>2</v>
      </c>
      <c r="AJ66" s="304">
        <v>3</v>
      </c>
      <c r="AK66" s="304">
        <v>7</v>
      </c>
      <c r="AL66" s="309" t="s">
        <v>388</v>
      </c>
      <c r="AM66" s="319">
        <v>90000</v>
      </c>
      <c r="AN66" s="388" t="s">
        <v>111</v>
      </c>
      <c r="AS66" s="155"/>
    </row>
    <row r="67" spans="3:45" ht="18" customHeight="1">
      <c r="C67" s="326"/>
      <c r="D67" s="327"/>
      <c r="AF67" s="281">
        <v>66</v>
      </c>
      <c r="AG67" s="288" t="s">
        <v>776</v>
      </c>
      <c r="AH67" s="305">
        <v>6</v>
      </c>
      <c r="AI67" s="305">
        <v>4</v>
      </c>
      <c r="AJ67" s="305">
        <v>1</v>
      </c>
      <c r="AK67" s="305">
        <v>9</v>
      </c>
      <c r="AL67" s="310" t="s">
        <v>380</v>
      </c>
      <c r="AM67" s="320">
        <v>110000</v>
      </c>
      <c r="AN67" s="389"/>
      <c r="AS67" s="155"/>
    </row>
    <row r="68" spans="32:45" ht="18" customHeight="1">
      <c r="AF68" s="281">
        <v>67</v>
      </c>
      <c r="AG68" s="289" t="s">
        <v>800</v>
      </c>
      <c r="AH68" s="306">
        <v>6</v>
      </c>
      <c r="AI68" s="306">
        <v>5</v>
      </c>
      <c r="AJ68" s="306">
        <v>1</v>
      </c>
      <c r="AK68" s="306">
        <v>9</v>
      </c>
      <c r="AL68" s="311" t="s">
        <v>113</v>
      </c>
      <c r="AM68" s="321">
        <v>170000</v>
      </c>
      <c r="AN68" s="390"/>
      <c r="AS68" s="155"/>
    </row>
    <row r="69" spans="32:45" ht="18" customHeight="1">
      <c r="AF69" s="281">
        <v>68</v>
      </c>
      <c r="AG69" s="287" t="s">
        <v>752</v>
      </c>
      <c r="AH69" s="304">
        <v>4</v>
      </c>
      <c r="AI69" s="304">
        <v>3</v>
      </c>
      <c r="AJ69" s="304">
        <v>2</v>
      </c>
      <c r="AK69" s="304">
        <v>8</v>
      </c>
      <c r="AL69" s="309" t="s">
        <v>390</v>
      </c>
      <c r="AM69" s="319">
        <v>70000</v>
      </c>
      <c r="AN69" s="382" t="s">
        <v>520</v>
      </c>
      <c r="AS69" s="155"/>
    </row>
    <row r="70" spans="32:45" ht="18" customHeight="1">
      <c r="AF70" s="281">
        <v>69</v>
      </c>
      <c r="AG70" s="288" t="s">
        <v>777</v>
      </c>
      <c r="AH70" s="305">
        <v>7</v>
      </c>
      <c r="AI70" s="305">
        <v>3</v>
      </c>
      <c r="AJ70" s="305">
        <v>3</v>
      </c>
      <c r="AK70" s="305">
        <v>7</v>
      </c>
      <c r="AL70" s="310" t="s">
        <v>376</v>
      </c>
      <c r="AM70" s="320">
        <v>100000</v>
      </c>
      <c r="AN70" s="383"/>
      <c r="AS70" s="155"/>
    </row>
    <row r="71" spans="32:45" ht="18" customHeight="1">
      <c r="AF71" s="281">
        <v>70</v>
      </c>
      <c r="AG71" s="288" t="s">
        <v>801</v>
      </c>
      <c r="AH71" s="305">
        <v>6</v>
      </c>
      <c r="AI71" s="305">
        <v>3</v>
      </c>
      <c r="AJ71" s="305">
        <v>3</v>
      </c>
      <c r="AK71" s="305">
        <v>8</v>
      </c>
      <c r="AL71" s="310" t="s">
        <v>874</v>
      </c>
      <c r="AM71" s="320">
        <v>120000</v>
      </c>
      <c r="AN71" s="383"/>
      <c r="AS71" s="155"/>
    </row>
    <row r="72" spans="32:45" ht="18" customHeight="1">
      <c r="AF72" s="281">
        <v>71</v>
      </c>
      <c r="AG72" s="288" t="s">
        <v>820</v>
      </c>
      <c r="AH72" s="305">
        <v>4</v>
      </c>
      <c r="AI72" s="305">
        <v>4</v>
      </c>
      <c r="AJ72" s="305">
        <v>2</v>
      </c>
      <c r="AK72" s="305">
        <v>9</v>
      </c>
      <c r="AL72" s="310" t="s">
        <v>876</v>
      </c>
      <c r="AM72" s="320">
        <v>140000</v>
      </c>
      <c r="AN72" s="383"/>
      <c r="AS72" s="155"/>
    </row>
    <row r="73" spans="32:45" ht="18" customHeight="1">
      <c r="AF73" s="281">
        <v>72</v>
      </c>
      <c r="AG73" s="289" t="s">
        <v>834</v>
      </c>
      <c r="AH73" s="306">
        <v>8</v>
      </c>
      <c r="AI73" s="306">
        <v>3</v>
      </c>
      <c r="AJ73" s="306">
        <v>3</v>
      </c>
      <c r="AK73" s="306">
        <v>8</v>
      </c>
      <c r="AL73" s="311" t="s">
        <v>877</v>
      </c>
      <c r="AM73" s="321">
        <v>150000</v>
      </c>
      <c r="AN73" s="384"/>
      <c r="AS73" s="155"/>
    </row>
    <row r="74" spans="32:45" ht="18" customHeight="1">
      <c r="AF74" s="281">
        <v>73</v>
      </c>
      <c r="AG74" s="290" t="s">
        <v>753</v>
      </c>
      <c r="AH74" s="304">
        <v>6</v>
      </c>
      <c r="AI74" s="304">
        <v>3</v>
      </c>
      <c r="AJ74" s="304">
        <v>3</v>
      </c>
      <c r="AK74" s="304">
        <v>7</v>
      </c>
      <c r="AL74" s="309" t="s">
        <v>391</v>
      </c>
      <c r="AM74" s="319">
        <v>80000</v>
      </c>
      <c r="AN74" s="388" t="s">
        <v>30</v>
      </c>
      <c r="AS74" s="155"/>
    </row>
    <row r="75" spans="32:45" ht="18" customHeight="1">
      <c r="AF75" s="281">
        <v>74</v>
      </c>
      <c r="AG75" s="291" t="s">
        <v>778</v>
      </c>
      <c r="AH75" s="305">
        <v>6</v>
      </c>
      <c r="AI75" s="305">
        <v>3</v>
      </c>
      <c r="AJ75" s="305">
        <v>3</v>
      </c>
      <c r="AK75" s="305">
        <v>7</v>
      </c>
      <c r="AL75" s="310" t="s">
        <v>878</v>
      </c>
      <c r="AM75" s="320">
        <v>100000</v>
      </c>
      <c r="AN75" s="389"/>
      <c r="AS75" s="155"/>
    </row>
    <row r="76" spans="32:45" ht="18" customHeight="1">
      <c r="AF76" s="281">
        <v>75</v>
      </c>
      <c r="AG76" s="291" t="s">
        <v>802</v>
      </c>
      <c r="AH76" s="305">
        <v>7</v>
      </c>
      <c r="AI76" s="305">
        <v>3</v>
      </c>
      <c r="AJ76" s="305">
        <v>3</v>
      </c>
      <c r="AK76" s="305">
        <v>7</v>
      </c>
      <c r="AL76" s="310" t="s">
        <v>879</v>
      </c>
      <c r="AM76" s="320">
        <v>120000</v>
      </c>
      <c r="AN76" s="389"/>
      <c r="AS76" s="155"/>
    </row>
    <row r="77" spans="32:45" ht="18" customHeight="1">
      <c r="AF77" s="281">
        <v>76</v>
      </c>
      <c r="AG77" s="288" t="s">
        <v>821</v>
      </c>
      <c r="AH77" s="305">
        <v>6</v>
      </c>
      <c r="AI77" s="305">
        <v>3</v>
      </c>
      <c r="AJ77" s="305">
        <v>3</v>
      </c>
      <c r="AK77" s="305">
        <v>7</v>
      </c>
      <c r="AL77" s="310" t="s">
        <v>880</v>
      </c>
      <c r="AM77" s="320">
        <v>120000</v>
      </c>
      <c r="AN77" s="389"/>
      <c r="AS77" s="155"/>
    </row>
    <row r="78" spans="32:45" ht="18" customHeight="1">
      <c r="AF78" s="281">
        <v>77</v>
      </c>
      <c r="AG78" s="288" t="s">
        <v>835</v>
      </c>
      <c r="AH78" s="305">
        <v>6</v>
      </c>
      <c r="AI78" s="305">
        <v>4</v>
      </c>
      <c r="AJ78" s="305">
        <v>2</v>
      </c>
      <c r="AK78" s="305">
        <v>8</v>
      </c>
      <c r="AL78" s="310" t="s">
        <v>881</v>
      </c>
      <c r="AM78" s="320">
        <v>140000</v>
      </c>
      <c r="AN78" s="389"/>
      <c r="AS78" s="155"/>
    </row>
    <row r="79" spans="32:45" ht="18" customHeight="1">
      <c r="AF79" s="281">
        <v>78</v>
      </c>
      <c r="AG79" s="289" t="s">
        <v>843</v>
      </c>
      <c r="AH79" s="306">
        <v>5</v>
      </c>
      <c r="AI79" s="306">
        <v>5</v>
      </c>
      <c r="AJ79" s="306">
        <v>1</v>
      </c>
      <c r="AK79" s="306">
        <v>8</v>
      </c>
      <c r="AL79" s="311" t="s">
        <v>123</v>
      </c>
      <c r="AM79" s="321">
        <v>170000</v>
      </c>
      <c r="AN79" s="390"/>
      <c r="AS79" s="155"/>
    </row>
    <row r="80" spans="31:45" ht="18" customHeight="1">
      <c r="AE80" s="157"/>
      <c r="AF80" s="281">
        <v>79</v>
      </c>
      <c r="AG80" s="287" t="s">
        <v>754</v>
      </c>
      <c r="AH80" s="304">
        <v>5</v>
      </c>
      <c r="AI80" s="304">
        <v>3</v>
      </c>
      <c r="AJ80" s="304">
        <v>3</v>
      </c>
      <c r="AK80" s="304">
        <v>8</v>
      </c>
      <c r="AL80" s="309" t="s">
        <v>393</v>
      </c>
      <c r="AM80" s="319">
        <v>70000</v>
      </c>
      <c r="AN80" s="382" t="s">
        <v>39</v>
      </c>
      <c r="AS80" s="155"/>
    </row>
    <row r="81" spans="31:45" ht="18" customHeight="1">
      <c r="AE81" s="157"/>
      <c r="AF81" s="281">
        <v>80</v>
      </c>
      <c r="AG81" s="288" t="s">
        <v>779</v>
      </c>
      <c r="AH81" s="305">
        <v>6</v>
      </c>
      <c r="AI81" s="305">
        <v>3</v>
      </c>
      <c r="AJ81" s="305">
        <v>3</v>
      </c>
      <c r="AK81" s="305">
        <v>8</v>
      </c>
      <c r="AL81" s="310" t="s">
        <v>882</v>
      </c>
      <c r="AM81" s="320">
        <v>110000</v>
      </c>
      <c r="AN81" s="383"/>
      <c r="AS81" s="155"/>
    </row>
    <row r="82" spans="30:45" ht="18" customHeight="1">
      <c r="AD82" s="158"/>
      <c r="AE82" s="157"/>
      <c r="AF82" s="281">
        <v>81</v>
      </c>
      <c r="AG82" s="288" t="s">
        <v>803</v>
      </c>
      <c r="AH82" s="305">
        <v>4</v>
      </c>
      <c r="AI82" s="305">
        <v>4</v>
      </c>
      <c r="AJ82" s="305">
        <v>2</v>
      </c>
      <c r="AK82" s="305">
        <v>9</v>
      </c>
      <c r="AL82" s="310" t="s">
        <v>883</v>
      </c>
      <c r="AM82" s="320">
        <v>140000</v>
      </c>
      <c r="AN82" s="383"/>
      <c r="AS82" s="155"/>
    </row>
    <row r="83" spans="30:45" ht="18" customHeight="1">
      <c r="AD83" s="158"/>
      <c r="AE83" s="157"/>
      <c r="AF83" s="281">
        <v>82</v>
      </c>
      <c r="AG83" s="289" t="s">
        <v>822</v>
      </c>
      <c r="AH83" s="306">
        <v>4</v>
      </c>
      <c r="AI83" s="306">
        <v>5</v>
      </c>
      <c r="AJ83" s="306">
        <v>1</v>
      </c>
      <c r="AK83" s="306">
        <v>9</v>
      </c>
      <c r="AL83" s="311" t="s">
        <v>129</v>
      </c>
      <c r="AM83" s="321">
        <v>170000</v>
      </c>
      <c r="AN83" s="384"/>
      <c r="AS83" s="155"/>
    </row>
    <row r="84" spans="30:45" ht="18" customHeight="1">
      <c r="AD84" s="158"/>
      <c r="AE84" s="157"/>
      <c r="AF84" s="281">
        <v>83</v>
      </c>
      <c r="AG84" s="287" t="s">
        <v>755</v>
      </c>
      <c r="AH84" s="304">
        <v>5</v>
      </c>
      <c r="AI84" s="304">
        <v>1</v>
      </c>
      <c r="AJ84" s="304">
        <v>3</v>
      </c>
      <c r="AK84" s="304">
        <v>5</v>
      </c>
      <c r="AL84" s="309" t="s">
        <v>395</v>
      </c>
      <c r="AM84" s="319">
        <v>50000</v>
      </c>
      <c r="AN84" s="388" t="s">
        <v>38</v>
      </c>
      <c r="AS84" s="155"/>
    </row>
    <row r="85" spans="30:45" ht="18" customHeight="1">
      <c r="AD85" s="158"/>
      <c r="AF85" s="281">
        <v>84</v>
      </c>
      <c r="AG85" s="289" t="s">
        <v>780</v>
      </c>
      <c r="AH85" s="306">
        <v>5</v>
      </c>
      <c r="AI85" s="306">
        <v>5</v>
      </c>
      <c r="AJ85" s="306">
        <v>2</v>
      </c>
      <c r="AK85" s="306">
        <v>9</v>
      </c>
      <c r="AL85" s="311" t="s">
        <v>105</v>
      </c>
      <c r="AM85" s="321">
        <v>170000</v>
      </c>
      <c r="AN85" s="390"/>
      <c r="AS85" s="155"/>
    </row>
    <row r="86" spans="30:45" ht="18" customHeight="1">
      <c r="AD86" s="158"/>
      <c r="AF86" s="281">
        <v>85</v>
      </c>
      <c r="AG86" s="287" t="s">
        <v>756</v>
      </c>
      <c r="AH86" s="304">
        <v>5</v>
      </c>
      <c r="AI86" s="304">
        <v>3</v>
      </c>
      <c r="AJ86" s="304">
        <v>3</v>
      </c>
      <c r="AK86" s="304">
        <v>9</v>
      </c>
      <c r="AL86" s="309" t="s">
        <v>380</v>
      </c>
      <c r="AM86" s="319">
        <v>80000</v>
      </c>
      <c r="AN86" s="382" t="s">
        <v>134</v>
      </c>
      <c r="AS86" s="155"/>
    </row>
    <row r="87" spans="30:45" ht="18" customHeight="1">
      <c r="AD87" s="158"/>
      <c r="AF87" s="281">
        <v>86</v>
      </c>
      <c r="AG87" s="286" t="s">
        <v>781</v>
      </c>
      <c r="AH87" s="300">
        <v>6</v>
      </c>
      <c r="AI87" s="300">
        <v>2</v>
      </c>
      <c r="AJ87" s="300">
        <v>3</v>
      </c>
      <c r="AK87" s="300">
        <v>7</v>
      </c>
      <c r="AL87" s="308" t="s">
        <v>399</v>
      </c>
      <c r="AM87" s="315">
        <v>70000</v>
      </c>
      <c r="AN87" s="383"/>
      <c r="AS87" s="155"/>
    </row>
    <row r="88" spans="30:45" ht="18" customHeight="1">
      <c r="AD88" s="158"/>
      <c r="AF88" s="281">
        <v>87</v>
      </c>
      <c r="AG88" s="288" t="s">
        <v>804</v>
      </c>
      <c r="AH88" s="305">
        <v>5</v>
      </c>
      <c r="AI88" s="305">
        <v>3</v>
      </c>
      <c r="AJ88" s="305">
        <v>3</v>
      </c>
      <c r="AK88" s="305">
        <v>8</v>
      </c>
      <c r="AL88" s="310" t="s">
        <v>872</v>
      </c>
      <c r="AM88" s="320">
        <v>100000</v>
      </c>
      <c r="AN88" s="383"/>
      <c r="AS88" s="155"/>
    </row>
    <row r="89" spans="30:45" ht="18" customHeight="1">
      <c r="AD89" s="158"/>
      <c r="AE89" s="157"/>
      <c r="AF89" s="281">
        <v>88</v>
      </c>
      <c r="AG89" s="288" t="s">
        <v>823</v>
      </c>
      <c r="AH89" s="305">
        <v>4</v>
      </c>
      <c r="AI89" s="305">
        <v>4</v>
      </c>
      <c r="AJ89" s="305">
        <v>2</v>
      </c>
      <c r="AK89" s="305">
        <v>9</v>
      </c>
      <c r="AL89" s="310" t="s">
        <v>380</v>
      </c>
      <c r="AM89" s="320">
        <v>110000</v>
      </c>
      <c r="AN89" s="383"/>
      <c r="AS89" s="155"/>
    </row>
    <row r="90" spans="30:45" ht="18" customHeight="1">
      <c r="AD90" s="158"/>
      <c r="AE90" s="157"/>
      <c r="AF90" s="281">
        <v>89</v>
      </c>
      <c r="AG90" s="288" t="s">
        <v>836</v>
      </c>
      <c r="AH90" s="305">
        <v>6</v>
      </c>
      <c r="AI90" s="305">
        <v>3</v>
      </c>
      <c r="AJ90" s="305">
        <v>3</v>
      </c>
      <c r="AK90" s="305">
        <v>9</v>
      </c>
      <c r="AL90" s="310" t="s">
        <v>391</v>
      </c>
      <c r="AM90" s="320">
        <v>110000</v>
      </c>
      <c r="AN90" s="383"/>
      <c r="AS90" s="155"/>
    </row>
    <row r="91" spans="30:45" ht="18" customHeight="1">
      <c r="AD91" s="158"/>
      <c r="AE91" s="157"/>
      <c r="AF91" s="281">
        <v>90</v>
      </c>
      <c r="AG91" s="288" t="s">
        <v>844</v>
      </c>
      <c r="AH91" s="305">
        <v>4</v>
      </c>
      <c r="AI91" s="305">
        <v>5</v>
      </c>
      <c r="AJ91" s="305">
        <v>1</v>
      </c>
      <c r="AK91" s="305">
        <v>9</v>
      </c>
      <c r="AL91" s="310" t="s">
        <v>95</v>
      </c>
      <c r="AM91" s="320">
        <v>140000</v>
      </c>
      <c r="AN91" s="384"/>
      <c r="AS91" s="155"/>
    </row>
    <row r="92" spans="30:45" ht="18" customHeight="1">
      <c r="AD92" s="158"/>
      <c r="AE92" s="157"/>
      <c r="AF92" s="281">
        <v>91</v>
      </c>
      <c r="AG92" s="287" t="s">
        <v>757</v>
      </c>
      <c r="AH92" s="304">
        <v>7</v>
      </c>
      <c r="AI92" s="304">
        <v>3</v>
      </c>
      <c r="AJ92" s="304">
        <v>3</v>
      </c>
      <c r="AK92" s="304">
        <v>7</v>
      </c>
      <c r="AL92" s="309" t="s">
        <v>380</v>
      </c>
      <c r="AM92" s="319">
        <v>80000</v>
      </c>
      <c r="AN92" s="388" t="s">
        <v>31</v>
      </c>
      <c r="AS92" s="155"/>
    </row>
    <row r="93" spans="30:45" ht="18" customHeight="1">
      <c r="AD93" s="158"/>
      <c r="AE93" s="157"/>
      <c r="AF93" s="281">
        <v>92</v>
      </c>
      <c r="AG93" s="288" t="s">
        <v>782</v>
      </c>
      <c r="AH93" s="305">
        <v>7</v>
      </c>
      <c r="AI93" s="305">
        <v>3</v>
      </c>
      <c r="AJ93" s="305">
        <v>3</v>
      </c>
      <c r="AK93" s="305">
        <v>7</v>
      </c>
      <c r="AL93" s="310" t="s">
        <v>884</v>
      </c>
      <c r="AM93" s="320">
        <v>100000</v>
      </c>
      <c r="AN93" s="389"/>
      <c r="AS93" s="155"/>
    </row>
    <row r="94" spans="31:45" ht="18" customHeight="1">
      <c r="AE94" s="157"/>
      <c r="AF94" s="281">
        <v>93</v>
      </c>
      <c r="AG94" s="288" t="s">
        <v>805</v>
      </c>
      <c r="AH94" s="305">
        <v>9</v>
      </c>
      <c r="AI94" s="305">
        <v>2</v>
      </c>
      <c r="AJ94" s="305">
        <v>4</v>
      </c>
      <c r="AK94" s="305">
        <v>7</v>
      </c>
      <c r="AL94" s="310" t="s">
        <v>376</v>
      </c>
      <c r="AM94" s="320">
        <v>110000</v>
      </c>
      <c r="AN94" s="389"/>
      <c r="AS94" s="155"/>
    </row>
    <row r="95" spans="31:45" ht="18" customHeight="1">
      <c r="AE95" s="157"/>
      <c r="AF95" s="281">
        <v>94</v>
      </c>
      <c r="AG95" s="288" t="s">
        <v>824</v>
      </c>
      <c r="AH95" s="305">
        <v>7</v>
      </c>
      <c r="AI95" s="305">
        <v>3</v>
      </c>
      <c r="AJ95" s="305">
        <v>3</v>
      </c>
      <c r="AK95" s="305">
        <v>8</v>
      </c>
      <c r="AL95" s="310" t="s">
        <v>391</v>
      </c>
      <c r="AM95" s="320">
        <v>120000</v>
      </c>
      <c r="AN95" s="389"/>
      <c r="AS95" s="155"/>
    </row>
    <row r="96" spans="31:45" ht="18" customHeight="1">
      <c r="AE96" s="157"/>
      <c r="AF96" s="281">
        <v>95</v>
      </c>
      <c r="AG96" s="289" t="s">
        <v>837</v>
      </c>
      <c r="AH96" s="306">
        <v>6</v>
      </c>
      <c r="AI96" s="306">
        <v>5</v>
      </c>
      <c r="AJ96" s="306">
        <v>2</v>
      </c>
      <c r="AK96" s="306">
        <v>8</v>
      </c>
      <c r="AL96" s="311" t="s">
        <v>138</v>
      </c>
      <c r="AM96" s="321">
        <v>180000</v>
      </c>
      <c r="AN96" s="390"/>
      <c r="AS96" s="155"/>
    </row>
    <row r="97" spans="31:45" ht="18" customHeight="1">
      <c r="AE97" s="157"/>
      <c r="AF97" s="281">
        <v>96</v>
      </c>
      <c r="AG97" s="288" t="s">
        <v>758</v>
      </c>
      <c r="AH97" s="305">
        <v>6</v>
      </c>
      <c r="AI97" s="305">
        <v>3</v>
      </c>
      <c r="AJ97" s="305">
        <v>3</v>
      </c>
      <c r="AK97" s="305">
        <v>8</v>
      </c>
      <c r="AL97" s="310" t="s">
        <v>396</v>
      </c>
      <c r="AM97" s="320">
        <v>90000</v>
      </c>
      <c r="AN97" s="385" t="s">
        <v>297</v>
      </c>
      <c r="AS97" s="155"/>
    </row>
    <row r="98" spans="32:45" ht="18" customHeight="1">
      <c r="AF98" s="281">
        <v>97</v>
      </c>
      <c r="AG98" s="288" t="s">
        <v>783</v>
      </c>
      <c r="AH98" s="305">
        <v>7</v>
      </c>
      <c r="AI98" s="305">
        <v>2</v>
      </c>
      <c r="AJ98" s="305">
        <v>4</v>
      </c>
      <c r="AK98" s="305">
        <v>7</v>
      </c>
      <c r="AL98" s="310" t="s">
        <v>885</v>
      </c>
      <c r="AM98" s="320">
        <v>110000</v>
      </c>
      <c r="AN98" s="386"/>
      <c r="AS98" s="155"/>
    </row>
    <row r="99" spans="32:45" ht="18" customHeight="1">
      <c r="AF99" s="281">
        <v>98</v>
      </c>
      <c r="AG99" s="288" t="s">
        <v>806</v>
      </c>
      <c r="AH99" s="305">
        <v>7</v>
      </c>
      <c r="AI99" s="305">
        <v>3</v>
      </c>
      <c r="AJ99" s="305">
        <v>3</v>
      </c>
      <c r="AK99" s="305">
        <v>8</v>
      </c>
      <c r="AL99" s="310" t="s">
        <v>886</v>
      </c>
      <c r="AM99" s="320">
        <v>140000</v>
      </c>
      <c r="AN99" s="386"/>
      <c r="AS99" s="155"/>
    </row>
    <row r="100" spans="32:45" ht="18" customHeight="1">
      <c r="AF100" s="281">
        <v>99</v>
      </c>
      <c r="AG100" s="289" t="s">
        <v>825</v>
      </c>
      <c r="AH100" s="306">
        <v>6</v>
      </c>
      <c r="AI100" s="306">
        <v>5</v>
      </c>
      <c r="AJ100" s="306">
        <v>1</v>
      </c>
      <c r="AK100" s="306">
        <v>9</v>
      </c>
      <c r="AL100" s="311" t="s">
        <v>113</v>
      </c>
      <c r="AM100" s="321">
        <v>170000</v>
      </c>
      <c r="AN100" s="387"/>
      <c r="AS100" s="155"/>
    </row>
    <row r="101" spans="32:45" ht="18" customHeight="1">
      <c r="AF101" s="281">
        <v>100</v>
      </c>
      <c r="AG101" s="287" t="s">
        <v>759</v>
      </c>
      <c r="AH101" s="301">
        <v>5</v>
      </c>
      <c r="AI101" s="301">
        <v>3</v>
      </c>
      <c r="AJ101" s="301">
        <v>2</v>
      </c>
      <c r="AK101" s="301">
        <v>7</v>
      </c>
      <c r="AL101" s="309" t="s">
        <v>386</v>
      </c>
      <c r="AM101" s="316">
        <v>70000</v>
      </c>
      <c r="AN101" s="382" t="s">
        <v>521</v>
      </c>
      <c r="AS101" s="155"/>
    </row>
    <row r="102" spans="32:45" ht="18" customHeight="1">
      <c r="AF102" s="281">
        <v>101</v>
      </c>
      <c r="AG102" s="293" t="s">
        <v>784</v>
      </c>
      <c r="AH102" s="302">
        <v>4</v>
      </c>
      <c r="AI102" s="302">
        <v>3</v>
      </c>
      <c r="AJ102" s="302">
        <v>2</v>
      </c>
      <c r="AK102" s="302">
        <v>8</v>
      </c>
      <c r="AL102" s="310" t="s">
        <v>390</v>
      </c>
      <c r="AM102" s="317">
        <v>70000</v>
      </c>
      <c r="AN102" s="383"/>
      <c r="AS102" s="155"/>
    </row>
    <row r="103" spans="32:45" ht="18" customHeight="1">
      <c r="AF103" s="281">
        <v>102</v>
      </c>
      <c r="AG103" s="293" t="s">
        <v>807</v>
      </c>
      <c r="AH103" s="302">
        <v>7</v>
      </c>
      <c r="AI103" s="302">
        <v>3</v>
      </c>
      <c r="AJ103" s="302">
        <v>3</v>
      </c>
      <c r="AK103" s="302">
        <v>7</v>
      </c>
      <c r="AL103" s="310" t="s">
        <v>376</v>
      </c>
      <c r="AM103" s="317">
        <v>100000</v>
      </c>
      <c r="AN103" s="383"/>
      <c r="AS103" s="155"/>
    </row>
    <row r="104" spans="32:45" ht="18" customHeight="1">
      <c r="AF104" s="281">
        <v>103</v>
      </c>
      <c r="AG104" s="293" t="s">
        <v>826</v>
      </c>
      <c r="AH104" s="302">
        <v>6</v>
      </c>
      <c r="AI104" s="302">
        <v>3</v>
      </c>
      <c r="AJ104" s="302">
        <v>3</v>
      </c>
      <c r="AK104" s="302">
        <v>8</v>
      </c>
      <c r="AL104" s="310" t="s">
        <v>874</v>
      </c>
      <c r="AM104" s="317">
        <v>120000</v>
      </c>
      <c r="AN104" s="383"/>
      <c r="AS104" s="155"/>
    </row>
    <row r="105" spans="32:45" ht="18" customHeight="1">
      <c r="AF105" s="281">
        <v>104</v>
      </c>
      <c r="AG105" s="288" t="s">
        <v>838</v>
      </c>
      <c r="AH105" s="302">
        <v>3</v>
      </c>
      <c r="AI105" s="302">
        <v>5</v>
      </c>
      <c r="AJ105" s="302">
        <v>1</v>
      </c>
      <c r="AK105" s="302">
        <v>9</v>
      </c>
      <c r="AL105" s="310" t="s">
        <v>887</v>
      </c>
      <c r="AM105" s="317">
        <v>150000</v>
      </c>
      <c r="AN105" s="384"/>
      <c r="AS105" s="155"/>
    </row>
    <row r="106" spans="32:45" ht="18" customHeight="1">
      <c r="AF106" s="281">
        <v>105</v>
      </c>
      <c r="AG106" s="287" t="s">
        <v>760</v>
      </c>
      <c r="AH106" s="304">
        <v>6</v>
      </c>
      <c r="AI106" s="304">
        <v>2</v>
      </c>
      <c r="AJ106" s="304">
        <v>3</v>
      </c>
      <c r="AK106" s="304">
        <v>7</v>
      </c>
      <c r="AL106" s="309" t="s">
        <v>399</v>
      </c>
      <c r="AM106" s="319">
        <v>70000</v>
      </c>
      <c r="AN106" s="385" t="s">
        <v>305</v>
      </c>
      <c r="AS106" s="155"/>
    </row>
    <row r="107" spans="32:45" ht="18" customHeight="1">
      <c r="AF107" s="281">
        <v>106</v>
      </c>
      <c r="AG107" s="288" t="s">
        <v>785</v>
      </c>
      <c r="AH107" s="305">
        <v>7</v>
      </c>
      <c r="AI107" s="305">
        <v>3</v>
      </c>
      <c r="AJ107" s="305">
        <v>3</v>
      </c>
      <c r="AK107" s="305">
        <v>7</v>
      </c>
      <c r="AL107" s="310" t="s">
        <v>855</v>
      </c>
      <c r="AM107" s="320">
        <v>80000</v>
      </c>
      <c r="AN107" s="386"/>
      <c r="AS107" s="155"/>
    </row>
    <row r="108" spans="32:45" ht="18" customHeight="1">
      <c r="AF108" s="281">
        <v>107</v>
      </c>
      <c r="AG108" s="288" t="s">
        <v>808</v>
      </c>
      <c r="AH108" s="305">
        <v>7</v>
      </c>
      <c r="AI108" s="305">
        <v>3</v>
      </c>
      <c r="AJ108" s="305">
        <v>3</v>
      </c>
      <c r="AK108" s="305">
        <v>7</v>
      </c>
      <c r="AL108" s="310" t="s">
        <v>888</v>
      </c>
      <c r="AM108" s="320">
        <v>100000</v>
      </c>
      <c r="AN108" s="386"/>
      <c r="AS108" s="155"/>
    </row>
    <row r="109" spans="32:45" ht="18" customHeight="1">
      <c r="AF109" s="281">
        <v>108</v>
      </c>
      <c r="AG109" s="288" t="s">
        <v>827</v>
      </c>
      <c r="AH109" s="305">
        <v>7</v>
      </c>
      <c r="AI109" s="305">
        <v>3</v>
      </c>
      <c r="AJ109" s="305">
        <v>3</v>
      </c>
      <c r="AK109" s="305">
        <v>8</v>
      </c>
      <c r="AL109" s="310" t="s">
        <v>889</v>
      </c>
      <c r="AM109" s="320">
        <v>120000</v>
      </c>
      <c r="AN109" s="386"/>
      <c r="AS109" s="155"/>
    </row>
    <row r="110" spans="32:45" ht="18" customHeight="1">
      <c r="AF110" s="281">
        <v>109</v>
      </c>
      <c r="AG110" s="288" t="s">
        <v>839</v>
      </c>
      <c r="AH110" s="305">
        <v>4</v>
      </c>
      <c r="AI110" s="305">
        <v>5</v>
      </c>
      <c r="AJ110" s="305">
        <v>1</v>
      </c>
      <c r="AK110" s="305">
        <v>9</v>
      </c>
      <c r="AL110" s="310" t="s">
        <v>95</v>
      </c>
      <c r="AM110" s="320">
        <v>140000</v>
      </c>
      <c r="AN110" s="387"/>
      <c r="AS110" s="155"/>
    </row>
    <row r="111" spans="32:45" ht="18" customHeight="1">
      <c r="AF111" s="281">
        <v>110</v>
      </c>
      <c r="AG111" s="323" t="s">
        <v>761</v>
      </c>
      <c r="AH111" s="304">
        <v>6</v>
      </c>
      <c r="AI111" s="304">
        <v>3</v>
      </c>
      <c r="AJ111" s="304">
        <v>3</v>
      </c>
      <c r="AK111" s="304">
        <v>7</v>
      </c>
      <c r="AL111" s="309" t="s">
        <v>380</v>
      </c>
      <c r="AM111" s="319">
        <v>70000</v>
      </c>
      <c r="AN111" s="388" t="s">
        <v>25</v>
      </c>
      <c r="AS111" s="155"/>
    </row>
    <row r="112" spans="32:45" ht="18" customHeight="1">
      <c r="AF112" s="281">
        <v>111</v>
      </c>
      <c r="AG112" s="299" t="s">
        <v>786</v>
      </c>
      <c r="AH112" s="306">
        <v>6</v>
      </c>
      <c r="AI112" s="306">
        <v>4</v>
      </c>
      <c r="AJ112" s="306">
        <v>4</v>
      </c>
      <c r="AK112" s="306">
        <v>8</v>
      </c>
      <c r="AL112" s="311" t="s">
        <v>890</v>
      </c>
      <c r="AM112" s="321">
        <v>140000</v>
      </c>
      <c r="AN112" s="389"/>
      <c r="AS112" s="155"/>
    </row>
    <row r="113" spans="32:45" ht="18" customHeight="1">
      <c r="AF113" s="281">
        <v>112</v>
      </c>
      <c r="AG113" s="323" t="s">
        <v>762</v>
      </c>
      <c r="AH113" s="301">
        <v>7</v>
      </c>
      <c r="AI113" s="301">
        <v>3</v>
      </c>
      <c r="AJ113" s="301">
        <v>4</v>
      </c>
      <c r="AK113" s="301">
        <v>7</v>
      </c>
      <c r="AL113" s="309" t="s">
        <v>380</v>
      </c>
      <c r="AM113" s="316">
        <v>100000</v>
      </c>
      <c r="AN113" s="382" t="s">
        <v>144</v>
      </c>
      <c r="AS113" s="155"/>
    </row>
    <row r="114" spans="32:45" ht="18" customHeight="1">
      <c r="AF114" s="281">
        <v>113</v>
      </c>
      <c r="AG114" s="293" t="s">
        <v>787</v>
      </c>
      <c r="AH114" s="302">
        <v>8</v>
      </c>
      <c r="AI114" s="302">
        <v>2</v>
      </c>
      <c r="AJ114" s="302">
        <v>4</v>
      </c>
      <c r="AK114" s="302">
        <v>7</v>
      </c>
      <c r="AL114" s="310" t="s">
        <v>891</v>
      </c>
      <c r="AM114" s="317">
        <v>120000</v>
      </c>
      <c r="AN114" s="383"/>
      <c r="AS114" s="155"/>
    </row>
    <row r="115" spans="32:45" ht="18" customHeight="1">
      <c r="AF115" s="281">
        <v>114</v>
      </c>
      <c r="AG115" s="293" t="s">
        <v>809</v>
      </c>
      <c r="AH115" s="302">
        <v>7</v>
      </c>
      <c r="AI115" s="302">
        <v>3</v>
      </c>
      <c r="AJ115" s="302">
        <v>4</v>
      </c>
      <c r="AK115" s="302">
        <v>7</v>
      </c>
      <c r="AL115" s="310" t="s">
        <v>861</v>
      </c>
      <c r="AM115" s="317">
        <v>120000</v>
      </c>
      <c r="AN115" s="383"/>
      <c r="AS115" s="155"/>
    </row>
    <row r="116" spans="32:45" ht="18" customHeight="1">
      <c r="AF116" s="281">
        <v>115</v>
      </c>
      <c r="AG116" s="293" t="s">
        <v>828</v>
      </c>
      <c r="AH116" s="302">
        <v>8</v>
      </c>
      <c r="AI116" s="302">
        <v>3</v>
      </c>
      <c r="AJ116" s="302">
        <v>4</v>
      </c>
      <c r="AK116" s="302">
        <v>7</v>
      </c>
      <c r="AL116" s="310" t="s">
        <v>892</v>
      </c>
      <c r="AM116" s="317">
        <v>150000</v>
      </c>
      <c r="AN116" s="383"/>
      <c r="AS116" s="155"/>
    </row>
    <row r="117" spans="32:45" ht="18" customHeight="1">
      <c r="AF117" s="281">
        <v>116</v>
      </c>
      <c r="AG117" s="299" t="s">
        <v>840</v>
      </c>
      <c r="AH117" s="303">
        <v>2</v>
      </c>
      <c r="AI117" s="303">
        <v>6</v>
      </c>
      <c r="AJ117" s="303">
        <v>1</v>
      </c>
      <c r="AK117" s="303">
        <v>10</v>
      </c>
      <c r="AL117" s="311" t="s">
        <v>868</v>
      </c>
      <c r="AM117" s="318">
        <v>150000</v>
      </c>
      <c r="AN117" s="384"/>
      <c r="AS117" s="155"/>
    </row>
    <row r="118" spans="32:45" ht="18" customHeight="1">
      <c r="AF118" s="282"/>
      <c r="AG118" s="288"/>
      <c r="AN118" s="279"/>
      <c r="AS118" s="155"/>
    </row>
    <row r="119" spans="32:45" ht="18" customHeight="1">
      <c r="AF119" s="282"/>
      <c r="AG119" s="288"/>
      <c r="AN119" s="279"/>
      <c r="AS119" s="155"/>
    </row>
    <row r="120" spans="32:45" ht="18" customHeight="1">
      <c r="AF120" s="282"/>
      <c r="AG120" s="288"/>
      <c r="AH120" s="307"/>
      <c r="AI120" s="307"/>
      <c r="AJ120" s="307"/>
      <c r="AK120" s="307"/>
      <c r="AL120" s="312"/>
      <c r="AM120" s="322"/>
      <c r="AN120" s="279"/>
      <c r="AS120" s="155"/>
    </row>
    <row r="121" spans="32:45" ht="18" customHeight="1">
      <c r="AF121" s="282"/>
      <c r="AG121" s="288"/>
      <c r="AH121" s="307"/>
      <c r="AI121" s="307"/>
      <c r="AJ121" s="307"/>
      <c r="AK121" s="307"/>
      <c r="AL121" s="312"/>
      <c r="AM121" s="322"/>
      <c r="AN121" s="279"/>
      <c r="AS121" s="155"/>
    </row>
    <row r="122" spans="32:45" ht="18" customHeight="1">
      <c r="AF122" s="282"/>
      <c r="AG122" s="294"/>
      <c r="AH122" s="307"/>
      <c r="AI122" s="307"/>
      <c r="AJ122" s="307"/>
      <c r="AK122" s="307"/>
      <c r="AL122" s="312"/>
      <c r="AM122" s="322"/>
      <c r="AN122" s="279"/>
      <c r="AS122" s="155"/>
    </row>
    <row r="123" spans="32:45" ht="18" customHeight="1">
      <c r="AF123" s="282"/>
      <c r="AG123" s="288"/>
      <c r="AH123" s="307"/>
      <c r="AI123" s="307"/>
      <c r="AJ123" s="307"/>
      <c r="AK123" s="307"/>
      <c r="AL123" s="312"/>
      <c r="AM123" s="322"/>
      <c r="AN123" s="279"/>
      <c r="AS123" s="155"/>
    </row>
    <row r="124" spans="32:45" ht="18" customHeight="1">
      <c r="AF124" s="282"/>
      <c r="AG124" s="288"/>
      <c r="AH124" s="307"/>
      <c r="AI124" s="307"/>
      <c r="AJ124" s="307"/>
      <c r="AK124" s="307"/>
      <c r="AL124" s="312"/>
      <c r="AM124" s="322"/>
      <c r="AN124" s="279"/>
      <c r="AS124" s="155"/>
    </row>
    <row r="125" spans="32:45" ht="18" customHeight="1">
      <c r="AF125" s="282"/>
      <c r="AG125" s="288"/>
      <c r="AH125" s="307"/>
      <c r="AI125" s="307"/>
      <c r="AJ125" s="307"/>
      <c r="AK125" s="307"/>
      <c r="AL125" s="312"/>
      <c r="AM125" s="322"/>
      <c r="AN125" s="279"/>
      <c r="AS125" s="155"/>
    </row>
    <row r="126" spans="32:45" ht="18" customHeight="1">
      <c r="AF126" s="282"/>
      <c r="AG126" s="288"/>
      <c r="AH126" s="307"/>
      <c r="AI126" s="307"/>
      <c r="AJ126" s="307"/>
      <c r="AK126" s="307"/>
      <c r="AL126" s="312"/>
      <c r="AM126" s="322"/>
      <c r="AN126" s="279"/>
      <c r="AS126" s="155"/>
    </row>
    <row r="127" spans="32:45" ht="18" customHeight="1">
      <c r="AF127" s="282"/>
      <c r="AG127" s="288"/>
      <c r="AH127" s="307"/>
      <c r="AI127" s="307"/>
      <c r="AJ127" s="307"/>
      <c r="AK127" s="307"/>
      <c r="AL127" s="312"/>
      <c r="AM127" s="322"/>
      <c r="AN127" s="279"/>
      <c r="AS127" s="155"/>
    </row>
    <row r="128" spans="32:45" ht="18" customHeight="1">
      <c r="AF128" s="282"/>
      <c r="AG128" s="288"/>
      <c r="AH128" s="307"/>
      <c r="AI128" s="307"/>
      <c r="AJ128" s="307"/>
      <c r="AK128" s="307"/>
      <c r="AL128" s="312"/>
      <c r="AM128" s="322"/>
      <c r="AN128" s="279"/>
      <c r="AS128" s="155"/>
    </row>
    <row r="129" spans="32:45" ht="18" customHeight="1">
      <c r="AF129" s="282"/>
      <c r="AG129" s="288"/>
      <c r="AH129" s="307"/>
      <c r="AI129" s="307"/>
      <c r="AJ129" s="307"/>
      <c r="AK129" s="307"/>
      <c r="AL129" s="312"/>
      <c r="AM129" s="322"/>
      <c r="AN129" s="279"/>
      <c r="AS129" s="155"/>
    </row>
    <row r="130" spans="32:45" ht="18" customHeight="1">
      <c r="AF130" s="282"/>
      <c r="AG130" s="288"/>
      <c r="AH130" s="307"/>
      <c r="AI130" s="307"/>
      <c r="AJ130" s="307"/>
      <c r="AK130" s="307"/>
      <c r="AL130" s="312"/>
      <c r="AM130" s="322"/>
      <c r="AN130" s="279"/>
      <c r="AS130" s="155"/>
    </row>
    <row r="131" spans="32:45" ht="18" customHeight="1">
      <c r="AF131" s="282"/>
      <c r="AG131" s="288"/>
      <c r="AH131" s="307"/>
      <c r="AI131" s="307"/>
      <c r="AJ131" s="307"/>
      <c r="AK131" s="307"/>
      <c r="AL131" s="312"/>
      <c r="AM131" s="322"/>
      <c r="AN131" s="279"/>
      <c r="AS131" s="155"/>
    </row>
    <row r="132" spans="32:45" ht="18" customHeight="1">
      <c r="AF132" s="282"/>
      <c r="AG132" s="288"/>
      <c r="AH132" s="307"/>
      <c r="AI132" s="307"/>
      <c r="AJ132" s="307"/>
      <c r="AK132" s="307"/>
      <c r="AL132" s="312"/>
      <c r="AM132" s="322"/>
      <c r="AN132" s="279"/>
      <c r="AS132" s="155"/>
    </row>
    <row r="133" spans="32:45" ht="18" customHeight="1">
      <c r="AF133" s="282"/>
      <c r="AG133" s="288"/>
      <c r="AH133" s="307"/>
      <c r="AI133" s="307"/>
      <c r="AJ133" s="307"/>
      <c r="AK133" s="307"/>
      <c r="AL133" s="312"/>
      <c r="AM133" s="322"/>
      <c r="AN133" s="279"/>
      <c r="AS133" s="155"/>
    </row>
    <row r="134" spans="32:45" ht="18" customHeight="1">
      <c r="AF134" s="282"/>
      <c r="AG134" s="294"/>
      <c r="AH134" s="307"/>
      <c r="AI134" s="307"/>
      <c r="AJ134" s="307"/>
      <c r="AK134" s="307"/>
      <c r="AL134" s="312"/>
      <c r="AM134" s="322"/>
      <c r="AN134" s="279"/>
      <c r="AS134" s="155"/>
    </row>
    <row r="135" spans="32:45" ht="18" customHeight="1">
      <c r="AF135" s="282"/>
      <c r="AG135" s="288"/>
      <c r="AH135" s="307"/>
      <c r="AI135" s="307"/>
      <c r="AJ135" s="307"/>
      <c r="AK135" s="307"/>
      <c r="AL135" s="312"/>
      <c r="AM135" s="322"/>
      <c r="AN135" s="279"/>
      <c r="AS135" s="155"/>
    </row>
    <row r="136" spans="32:45" ht="18" customHeight="1">
      <c r="AF136" s="282"/>
      <c r="AG136" s="288"/>
      <c r="AH136" s="302"/>
      <c r="AI136" s="302"/>
      <c r="AJ136" s="302"/>
      <c r="AK136" s="302"/>
      <c r="AL136" s="310"/>
      <c r="AM136" s="317"/>
      <c r="AN136" s="279"/>
      <c r="AS136" s="155"/>
    </row>
    <row r="137" spans="32:45" ht="18" customHeight="1">
      <c r="AF137" s="282"/>
      <c r="AG137" s="288"/>
      <c r="AH137" s="307"/>
      <c r="AI137" s="307"/>
      <c r="AJ137" s="307"/>
      <c r="AK137" s="307"/>
      <c r="AL137" s="310"/>
      <c r="AM137" s="322"/>
      <c r="AN137" s="279"/>
      <c r="AS137" s="155"/>
    </row>
    <row r="138" spans="32:45" ht="18" customHeight="1">
      <c r="AF138" s="282"/>
      <c r="AG138" s="288"/>
      <c r="AH138" s="307"/>
      <c r="AI138" s="307"/>
      <c r="AJ138" s="307"/>
      <c r="AK138" s="307"/>
      <c r="AL138" s="312"/>
      <c r="AM138" s="322"/>
      <c r="AN138" s="279"/>
      <c r="AS138" s="155"/>
    </row>
    <row r="139" spans="32:45" ht="18" customHeight="1">
      <c r="AF139" s="282"/>
      <c r="AG139" s="288"/>
      <c r="AH139" s="307"/>
      <c r="AI139" s="307"/>
      <c r="AJ139" s="307"/>
      <c r="AK139" s="307"/>
      <c r="AL139" s="310"/>
      <c r="AM139" s="322"/>
      <c r="AN139" s="279"/>
      <c r="AS139" s="155"/>
    </row>
    <row r="140" spans="32:45" ht="18" customHeight="1">
      <c r="AF140" s="282"/>
      <c r="AG140" s="294"/>
      <c r="AH140" s="307"/>
      <c r="AI140" s="307"/>
      <c r="AJ140" s="307"/>
      <c r="AK140" s="307"/>
      <c r="AL140" s="312"/>
      <c r="AM140" s="322"/>
      <c r="AN140" s="279"/>
      <c r="AS140" s="155"/>
    </row>
    <row r="141" spans="32:45" ht="18" customHeight="1">
      <c r="AF141" s="282"/>
      <c r="AG141" s="295"/>
      <c r="AH141" s="307"/>
      <c r="AI141" s="307"/>
      <c r="AJ141" s="307"/>
      <c r="AK141" s="307"/>
      <c r="AL141" s="312"/>
      <c r="AM141" s="322"/>
      <c r="AN141" s="279"/>
      <c r="AS141" s="155"/>
    </row>
    <row r="142" spans="32:45" ht="18" customHeight="1">
      <c r="AF142" s="282"/>
      <c r="AG142" s="288"/>
      <c r="AH142" s="307"/>
      <c r="AI142" s="307"/>
      <c r="AJ142" s="307"/>
      <c r="AK142" s="307"/>
      <c r="AL142" s="312"/>
      <c r="AM142" s="322"/>
      <c r="AN142" s="279"/>
      <c r="AS142" s="155"/>
    </row>
    <row r="143" spans="32:45" ht="18" customHeight="1">
      <c r="AF143" s="282"/>
      <c r="AG143" s="295"/>
      <c r="AH143" s="307"/>
      <c r="AI143" s="307"/>
      <c r="AJ143" s="307"/>
      <c r="AK143" s="307"/>
      <c r="AL143" s="312"/>
      <c r="AM143" s="322"/>
      <c r="AN143" s="279"/>
      <c r="AS143" s="155"/>
    </row>
    <row r="144" spans="32:45" ht="18" customHeight="1">
      <c r="AF144" s="282"/>
      <c r="AG144" s="295"/>
      <c r="AH144" s="307"/>
      <c r="AI144" s="307"/>
      <c r="AJ144" s="307"/>
      <c r="AK144" s="307"/>
      <c r="AL144" s="312"/>
      <c r="AM144" s="322"/>
      <c r="AN144" s="279"/>
      <c r="AS144" s="155"/>
    </row>
    <row r="145" spans="32:45" ht="18" customHeight="1">
      <c r="AF145" s="282"/>
      <c r="AG145" s="296"/>
      <c r="AH145" s="307"/>
      <c r="AI145" s="307"/>
      <c r="AJ145" s="307"/>
      <c r="AK145" s="307"/>
      <c r="AL145" s="312"/>
      <c r="AM145" s="322"/>
      <c r="AN145" s="279"/>
      <c r="AS145" s="155"/>
    </row>
    <row r="146" spans="32:45" ht="18" customHeight="1">
      <c r="AF146" s="282"/>
      <c r="AG146" s="296"/>
      <c r="AH146" s="307"/>
      <c r="AI146" s="307"/>
      <c r="AJ146" s="307"/>
      <c r="AK146" s="307"/>
      <c r="AL146" s="312"/>
      <c r="AM146" s="322"/>
      <c r="AN146" s="279"/>
      <c r="AS146" s="155"/>
    </row>
    <row r="147" spans="32:45" ht="18" customHeight="1">
      <c r="AF147" s="282"/>
      <c r="AG147" s="296"/>
      <c r="AH147" s="307"/>
      <c r="AI147" s="307"/>
      <c r="AJ147" s="307"/>
      <c r="AK147" s="307"/>
      <c r="AL147" s="312"/>
      <c r="AM147" s="322"/>
      <c r="AN147" s="279"/>
      <c r="AS147" s="155"/>
    </row>
    <row r="148" spans="32:45" ht="18" customHeight="1">
      <c r="AF148" s="282"/>
      <c r="AG148" s="288"/>
      <c r="AH148" s="307"/>
      <c r="AI148" s="307"/>
      <c r="AJ148" s="307"/>
      <c r="AK148" s="307"/>
      <c r="AL148" s="312"/>
      <c r="AM148" s="322"/>
      <c r="AN148" s="279"/>
      <c r="AS148" s="155"/>
    </row>
    <row r="149" spans="32:45" ht="18" customHeight="1">
      <c r="AF149" s="282"/>
      <c r="AG149" s="288"/>
      <c r="AH149" s="307"/>
      <c r="AI149" s="307"/>
      <c r="AJ149" s="307"/>
      <c r="AK149" s="307"/>
      <c r="AL149" s="312"/>
      <c r="AM149" s="322"/>
      <c r="AN149" s="279"/>
      <c r="AS149" s="155"/>
    </row>
    <row r="150" spans="32:45" ht="18" customHeight="1">
      <c r="AF150" s="282"/>
      <c r="AG150" s="288"/>
      <c r="AH150" s="307"/>
      <c r="AI150" s="307"/>
      <c r="AJ150" s="307"/>
      <c r="AK150" s="307"/>
      <c r="AL150" s="312"/>
      <c r="AM150" s="322"/>
      <c r="AN150" s="279"/>
      <c r="AS150" s="155"/>
    </row>
    <row r="151" spans="32:45" ht="18" customHeight="1">
      <c r="AF151" s="282"/>
      <c r="AG151" s="288"/>
      <c r="AH151" s="307"/>
      <c r="AI151" s="307"/>
      <c r="AJ151" s="307"/>
      <c r="AK151" s="307"/>
      <c r="AL151" s="312"/>
      <c r="AM151" s="322"/>
      <c r="AN151" s="279"/>
      <c r="AS151" s="155"/>
    </row>
    <row r="152" spans="32:45" ht="18" customHeight="1">
      <c r="AF152" s="282"/>
      <c r="AG152" s="294"/>
      <c r="AH152" s="307"/>
      <c r="AI152" s="307"/>
      <c r="AJ152" s="307"/>
      <c r="AK152" s="307"/>
      <c r="AL152" s="312"/>
      <c r="AM152" s="322"/>
      <c r="AN152" s="279"/>
      <c r="AS152" s="155"/>
    </row>
    <row r="153" spans="32:45" ht="18" customHeight="1">
      <c r="AF153" s="282"/>
      <c r="AG153" s="294"/>
      <c r="AH153" s="307"/>
      <c r="AI153" s="307"/>
      <c r="AJ153" s="307"/>
      <c r="AK153" s="307"/>
      <c r="AL153" s="312"/>
      <c r="AM153" s="322"/>
      <c r="AN153" s="279"/>
      <c r="AS153" s="155"/>
    </row>
    <row r="154" spans="32:45" ht="18" customHeight="1">
      <c r="AF154" s="282"/>
      <c r="AG154" s="288"/>
      <c r="AH154" s="307"/>
      <c r="AI154" s="307"/>
      <c r="AJ154" s="307"/>
      <c r="AK154" s="307"/>
      <c r="AL154" s="312"/>
      <c r="AM154" s="322"/>
      <c r="AN154" s="279"/>
      <c r="AS154" s="155"/>
    </row>
    <row r="155" spans="32:45" ht="18" customHeight="1">
      <c r="AF155" s="282"/>
      <c r="AG155" s="288"/>
      <c r="AH155" s="302"/>
      <c r="AI155" s="302"/>
      <c r="AJ155" s="302"/>
      <c r="AK155" s="302"/>
      <c r="AL155" s="310"/>
      <c r="AM155" s="317"/>
      <c r="AN155" s="279"/>
      <c r="AS155" s="155"/>
    </row>
    <row r="156" spans="32:45" ht="18" customHeight="1">
      <c r="AF156" s="282"/>
      <c r="AG156" s="296"/>
      <c r="AH156" s="302"/>
      <c r="AI156" s="302"/>
      <c r="AJ156" s="302"/>
      <c r="AK156" s="302"/>
      <c r="AL156" s="310"/>
      <c r="AM156" s="317"/>
      <c r="AN156" s="279"/>
      <c r="AS156" s="155"/>
    </row>
    <row r="157" spans="32:45" ht="18" customHeight="1">
      <c r="AF157" s="282"/>
      <c r="AG157" s="288"/>
      <c r="AH157" s="307"/>
      <c r="AI157" s="307"/>
      <c r="AJ157" s="307"/>
      <c r="AK157" s="307"/>
      <c r="AL157" s="312"/>
      <c r="AM157" s="322"/>
      <c r="AN157" s="279"/>
      <c r="AS157" s="155"/>
    </row>
    <row r="158" spans="32:45" ht="18" customHeight="1">
      <c r="AF158" s="282"/>
      <c r="AG158" s="288"/>
      <c r="AH158" s="307"/>
      <c r="AI158" s="307"/>
      <c r="AJ158" s="307"/>
      <c r="AK158" s="307"/>
      <c r="AL158" s="312"/>
      <c r="AM158" s="322"/>
      <c r="AN158" s="279"/>
      <c r="AS158" s="155"/>
    </row>
    <row r="159" spans="32:45" ht="18" customHeight="1">
      <c r="AF159" s="282"/>
      <c r="AG159" s="288"/>
      <c r="AH159" s="307"/>
      <c r="AI159" s="307"/>
      <c r="AJ159" s="307"/>
      <c r="AK159" s="307"/>
      <c r="AL159" s="312"/>
      <c r="AM159" s="322"/>
      <c r="AN159" s="279"/>
      <c r="AS159" s="155"/>
    </row>
    <row r="160" spans="32:45" ht="18" customHeight="1">
      <c r="AF160" s="282"/>
      <c r="AG160" s="288"/>
      <c r="AH160" s="307"/>
      <c r="AI160" s="307"/>
      <c r="AJ160" s="307"/>
      <c r="AK160" s="307"/>
      <c r="AL160" s="312"/>
      <c r="AM160" s="322"/>
      <c r="AN160" s="279"/>
      <c r="AS160" s="155"/>
    </row>
    <row r="161" spans="32:45" ht="18" customHeight="1">
      <c r="AF161" s="282"/>
      <c r="AG161" s="288"/>
      <c r="AH161" s="307"/>
      <c r="AI161" s="307"/>
      <c r="AJ161" s="307"/>
      <c r="AK161" s="307"/>
      <c r="AL161" s="312"/>
      <c r="AM161" s="322"/>
      <c r="AN161" s="279"/>
      <c r="AS161" s="155"/>
    </row>
    <row r="162" spans="32:45" ht="18" customHeight="1">
      <c r="AF162" s="282"/>
      <c r="AG162" s="288"/>
      <c r="AH162" s="307"/>
      <c r="AI162" s="307"/>
      <c r="AJ162" s="307"/>
      <c r="AK162" s="307"/>
      <c r="AL162" s="312"/>
      <c r="AM162" s="322"/>
      <c r="AN162" s="279"/>
      <c r="AS162" s="155"/>
    </row>
    <row r="163" spans="32:45" ht="18" customHeight="1">
      <c r="AF163" s="282"/>
      <c r="AG163" s="288"/>
      <c r="AH163" s="307"/>
      <c r="AI163" s="307"/>
      <c r="AJ163" s="307"/>
      <c r="AK163" s="307"/>
      <c r="AL163" s="312"/>
      <c r="AM163" s="322"/>
      <c r="AN163" s="279"/>
      <c r="AS163" s="155"/>
    </row>
    <row r="164" spans="32:45" ht="18" customHeight="1">
      <c r="AF164" s="282"/>
      <c r="AG164" s="288"/>
      <c r="AH164" s="307"/>
      <c r="AI164" s="307"/>
      <c r="AJ164" s="307"/>
      <c r="AK164" s="307"/>
      <c r="AL164" s="312"/>
      <c r="AM164" s="322"/>
      <c r="AN164" s="279"/>
      <c r="AS164" s="155"/>
    </row>
    <row r="165" spans="33:45" ht="18" customHeight="1">
      <c r="AG165" s="288"/>
      <c r="AH165" s="307"/>
      <c r="AI165" s="307"/>
      <c r="AJ165" s="307"/>
      <c r="AK165" s="307"/>
      <c r="AL165" s="312"/>
      <c r="AM165" s="322"/>
      <c r="AN165" s="279"/>
      <c r="AS165" s="155"/>
    </row>
    <row r="166" spans="33:45" ht="18" customHeight="1">
      <c r="AG166" s="288"/>
      <c r="AH166" s="307"/>
      <c r="AI166" s="307"/>
      <c r="AJ166" s="307"/>
      <c r="AK166" s="307"/>
      <c r="AL166" s="312"/>
      <c r="AM166" s="322"/>
      <c r="AN166" s="279"/>
      <c r="AS166" s="155"/>
    </row>
    <row r="167" spans="33:45" ht="18" customHeight="1">
      <c r="AG167" s="288"/>
      <c r="AH167" s="307"/>
      <c r="AI167" s="307"/>
      <c r="AJ167" s="307"/>
      <c r="AK167" s="307"/>
      <c r="AL167" s="312"/>
      <c r="AM167" s="322"/>
      <c r="AN167" s="279"/>
      <c r="AS167" s="155"/>
    </row>
    <row r="168" spans="33:45" ht="18" customHeight="1">
      <c r="AG168" s="288"/>
      <c r="AH168" s="307"/>
      <c r="AI168" s="307"/>
      <c r="AJ168" s="307"/>
      <c r="AK168" s="307"/>
      <c r="AL168" s="312"/>
      <c r="AM168" s="322"/>
      <c r="AN168" s="279"/>
      <c r="AS168" s="155"/>
    </row>
    <row r="169" spans="33:45" ht="18" customHeight="1">
      <c r="AG169" s="288"/>
      <c r="AH169" s="307"/>
      <c r="AI169" s="307"/>
      <c r="AJ169" s="307"/>
      <c r="AK169" s="307"/>
      <c r="AL169" s="312"/>
      <c r="AM169" s="322"/>
      <c r="AN169" s="279"/>
      <c r="AS169" s="155"/>
    </row>
    <row r="170" spans="33:45" ht="18" customHeight="1">
      <c r="AG170" s="288"/>
      <c r="AH170" s="307"/>
      <c r="AI170" s="307"/>
      <c r="AJ170" s="307"/>
      <c r="AK170" s="307"/>
      <c r="AL170" s="312"/>
      <c r="AM170" s="322"/>
      <c r="AN170" s="279"/>
      <c r="AS170" s="155"/>
    </row>
    <row r="171" spans="33:45" ht="18" customHeight="1">
      <c r="AG171" s="288"/>
      <c r="AH171" s="307"/>
      <c r="AI171" s="307"/>
      <c r="AJ171" s="307"/>
      <c r="AK171" s="307"/>
      <c r="AL171" s="312"/>
      <c r="AM171" s="322"/>
      <c r="AN171" s="279"/>
      <c r="AS171" s="155"/>
    </row>
    <row r="172" spans="33:45" ht="18" customHeight="1">
      <c r="AG172" s="288"/>
      <c r="AH172" s="307"/>
      <c r="AI172" s="307"/>
      <c r="AJ172" s="307"/>
      <c r="AK172" s="307"/>
      <c r="AL172" s="312"/>
      <c r="AM172" s="322"/>
      <c r="AN172" s="279"/>
      <c r="AS172" s="155"/>
    </row>
    <row r="173" spans="33:45" ht="18" customHeight="1">
      <c r="AG173" s="288"/>
      <c r="AH173" s="307"/>
      <c r="AI173" s="307"/>
      <c r="AJ173" s="307"/>
      <c r="AK173" s="307"/>
      <c r="AL173" s="312"/>
      <c r="AM173" s="322"/>
      <c r="AN173" s="279"/>
      <c r="AS173" s="155"/>
    </row>
    <row r="174" spans="33:45" ht="18" customHeight="1">
      <c r="AG174" s="288"/>
      <c r="AH174" s="307"/>
      <c r="AI174" s="307"/>
      <c r="AJ174" s="307"/>
      <c r="AK174" s="307"/>
      <c r="AL174" s="312"/>
      <c r="AM174" s="322"/>
      <c r="AN174" s="279"/>
      <c r="AS174" s="155"/>
    </row>
    <row r="175" spans="33:45" ht="18" customHeight="1">
      <c r="AG175" s="297"/>
      <c r="AH175" s="304"/>
      <c r="AI175" s="304"/>
      <c r="AJ175" s="304"/>
      <c r="AK175" s="304"/>
      <c r="AL175" s="313"/>
      <c r="AM175" s="319"/>
      <c r="AN175" s="283"/>
      <c r="AS175" s="155"/>
    </row>
    <row r="176" spans="33:45" ht="18" customHeight="1">
      <c r="AG176" s="298"/>
      <c r="AH176" s="302"/>
      <c r="AI176" s="302"/>
      <c r="AJ176" s="302"/>
      <c r="AK176" s="302"/>
      <c r="AL176" s="310"/>
      <c r="AM176" s="317"/>
      <c r="AN176" s="284"/>
      <c r="AS176" s="155"/>
    </row>
    <row r="177" spans="33:45" ht="18" customHeight="1">
      <c r="AG177" s="298"/>
      <c r="AH177" s="305"/>
      <c r="AI177" s="305"/>
      <c r="AJ177" s="305"/>
      <c r="AK177" s="305"/>
      <c r="AL177" s="310"/>
      <c r="AM177" s="320"/>
      <c r="AN177" s="284"/>
      <c r="AS177" s="155"/>
    </row>
    <row r="178" spans="33:45" ht="18" customHeight="1">
      <c r="AG178" s="293"/>
      <c r="AH178" s="302"/>
      <c r="AI178" s="302"/>
      <c r="AJ178" s="302"/>
      <c r="AK178" s="302"/>
      <c r="AL178" s="310"/>
      <c r="AM178" s="317"/>
      <c r="AN178" s="284"/>
      <c r="AS178" s="155"/>
    </row>
    <row r="179" spans="33:40" ht="18" customHeight="1">
      <c r="AG179" s="293"/>
      <c r="AH179" s="302"/>
      <c r="AI179" s="302"/>
      <c r="AJ179" s="302"/>
      <c r="AK179" s="302"/>
      <c r="AL179" s="310"/>
      <c r="AM179" s="317"/>
      <c r="AN179" s="284"/>
    </row>
    <row r="180" spans="33:40" ht="18" customHeight="1">
      <c r="AG180" s="298"/>
      <c r="AH180" s="302"/>
      <c r="AI180" s="302"/>
      <c r="AJ180" s="302"/>
      <c r="AK180" s="302"/>
      <c r="AL180" s="310"/>
      <c r="AM180" s="320"/>
      <c r="AN180" s="284"/>
    </row>
    <row r="181" spans="33:40" ht="18" customHeight="1">
      <c r="AG181" s="293"/>
      <c r="AH181" s="302"/>
      <c r="AI181" s="302"/>
      <c r="AJ181" s="302"/>
      <c r="AK181" s="302"/>
      <c r="AL181" s="310"/>
      <c r="AM181" s="317"/>
      <c r="AN181" s="284"/>
    </row>
    <row r="182" spans="33:40" ht="18" customHeight="1">
      <c r="AG182" s="293"/>
      <c r="AH182" s="302"/>
      <c r="AI182" s="302"/>
      <c r="AJ182" s="302"/>
      <c r="AK182" s="302"/>
      <c r="AL182" s="310"/>
      <c r="AM182" s="317"/>
      <c r="AN182" s="284"/>
    </row>
    <row r="183" spans="33:40" ht="18" customHeight="1">
      <c r="AG183" s="298"/>
      <c r="AH183" s="302"/>
      <c r="AI183" s="302"/>
      <c r="AJ183" s="302"/>
      <c r="AK183" s="302"/>
      <c r="AL183" s="310"/>
      <c r="AM183" s="317"/>
      <c r="AN183" s="284"/>
    </row>
    <row r="184" spans="33:40" ht="18" customHeight="1">
      <c r="AG184" s="293"/>
      <c r="AH184" s="302"/>
      <c r="AI184" s="302"/>
      <c r="AJ184" s="302"/>
      <c r="AK184" s="302"/>
      <c r="AL184" s="310"/>
      <c r="AM184" s="317"/>
      <c r="AN184" s="284"/>
    </row>
    <row r="185" spans="33:40" ht="18" customHeight="1">
      <c r="AG185" s="293"/>
      <c r="AH185" s="305"/>
      <c r="AI185" s="305"/>
      <c r="AJ185" s="305"/>
      <c r="AK185" s="305"/>
      <c r="AL185" s="310"/>
      <c r="AM185" s="320"/>
      <c r="AN185" s="284"/>
    </row>
    <row r="186" spans="33:40" ht="18" customHeight="1">
      <c r="AG186" s="293"/>
      <c r="AH186" s="302"/>
      <c r="AI186" s="302"/>
      <c r="AJ186" s="302"/>
      <c r="AK186" s="302"/>
      <c r="AL186" s="310"/>
      <c r="AM186" s="317"/>
      <c r="AN186" s="284"/>
    </row>
    <row r="187" spans="33:40" ht="18" customHeight="1">
      <c r="AG187" s="293"/>
      <c r="AH187" s="305"/>
      <c r="AI187" s="305"/>
      <c r="AJ187" s="305"/>
      <c r="AK187" s="305"/>
      <c r="AL187" s="310"/>
      <c r="AM187" s="320"/>
      <c r="AN187" s="284"/>
    </row>
    <row r="188" spans="33:40" ht="18" customHeight="1">
      <c r="AG188" s="293"/>
      <c r="AH188" s="305"/>
      <c r="AI188" s="305"/>
      <c r="AJ188" s="305"/>
      <c r="AK188" s="305"/>
      <c r="AL188" s="310"/>
      <c r="AM188" s="320"/>
      <c r="AN188" s="284"/>
    </row>
    <row r="189" spans="33:40" ht="18" customHeight="1">
      <c r="AG189" s="298"/>
      <c r="AH189" s="305"/>
      <c r="AI189" s="305"/>
      <c r="AJ189" s="305"/>
      <c r="AK189" s="305"/>
      <c r="AL189" s="310"/>
      <c r="AM189" s="320"/>
      <c r="AN189" s="284"/>
    </row>
    <row r="190" spans="33:40" ht="18" customHeight="1">
      <c r="AG190" s="293"/>
      <c r="AH190" s="305"/>
      <c r="AI190" s="305"/>
      <c r="AJ190" s="305"/>
      <c r="AK190" s="305"/>
      <c r="AL190" s="310"/>
      <c r="AM190" s="320"/>
      <c r="AN190" s="284"/>
    </row>
    <row r="191" spans="33:40" ht="18" customHeight="1">
      <c r="AG191" s="293"/>
      <c r="AH191" s="305"/>
      <c r="AI191" s="305"/>
      <c r="AJ191" s="305"/>
      <c r="AK191" s="305"/>
      <c r="AL191" s="310"/>
      <c r="AM191" s="320"/>
      <c r="AN191" s="284"/>
    </row>
    <row r="192" spans="33:40" ht="18" customHeight="1">
      <c r="AG192" s="293"/>
      <c r="AH192" s="305"/>
      <c r="AI192" s="305"/>
      <c r="AJ192" s="305"/>
      <c r="AK192" s="305"/>
      <c r="AL192" s="310"/>
      <c r="AM192" s="320"/>
      <c r="AN192" s="284"/>
    </row>
    <row r="193" spans="33:40" ht="18" customHeight="1">
      <c r="AG193" s="293"/>
      <c r="AH193" s="305"/>
      <c r="AI193" s="305"/>
      <c r="AJ193" s="305"/>
      <c r="AK193" s="305"/>
      <c r="AL193" s="310"/>
      <c r="AM193" s="320"/>
      <c r="AN193" s="284"/>
    </row>
    <row r="194" spans="33:40" ht="18" customHeight="1">
      <c r="AG194" s="293"/>
      <c r="AH194" s="305"/>
      <c r="AI194" s="305"/>
      <c r="AJ194" s="305"/>
      <c r="AK194" s="305"/>
      <c r="AL194" s="310"/>
      <c r="AM194" s="320"/>
      <c r="AN194" s="284"/>
    </row>
    <row r="195" spans="33:40" ht="18" customHeight="1">
      <c r="AG195" s="293"/>
      <c r="AH195" s="302"/>
      <c r="AI195" s="302"/>
      <c r="AJ195" s="302"/>
      <c r="AK195" s="302"/>
      <c r="AL195" s="310"/>
      <c r="AM195" s="317"/>
      <c r="AN195" s="284"/>
    </row>
    <row r="196" spans="33:40" ht="18" customHeight="1">
      <c r="AG196" s="293"/>
      <c r="AH196" s="302"/>
      <c r="AI196" s="302"/>
      <c r="AJ196" s="302"/>
      <c r="AK196" s="302"/>
      <c r="AL196" s="310"/>
      <c r="AM196" s="317"/>
      <c r="AN196" s="284"/>
    </row>
    <row r="197" spans="33:40" ht="18" customHeight="1">
      <c r="AG197" s="293"/>
      <c r="AH197" s="305"/>
      <c r="AI197" s="305"/>
      <c r="AJ197" s="305"/>
      <c r="AK197" s="305"/>
      <c r="AL197" s="310"/>
      <c r="AM197" s="320"/>
      <c r="AN197" s="284"/>
    </row>
    <row r="198" spans="33:40" ht="18" customHeight="1">
      <c r="AG198" s="293"/>
      <c r="AH198" s="305"/>
      <c r="AI198" s="305"/>
      <c r="AJ198" s="305"/>
      <c r="AK198" s="305"/>
      <c r="AL198" s="310"/>
      <c r="AM198" s="320"/>
      <c r="AN198" s="284"/>
    </row>
    <row r="199" spans="33:40" ht="18" customHeight="1">
      <c r="AG199" s="299"/>
      <c r="AH199" s="303"/>
      <c r="AI199" s="303"/>
      <c r="AJ199" s="303"/>
      <c r="AK199" s="303"/>
      <c r="AL199" s="311"/>
      <c r="AM199" s="318"/>
      <c r="AN199" s="285"/>
    </row>
    <row r="200" ht="18" customHeight="1">
      <c r="AN200" s="279"/>
    </row>
    <row r="201" ht="18" customHeight="1">
      <c r="AN201" s="279"/>
    </row>
    <row r="202" ht="18" customHeight="1">
      <c r="AN202" s="279"/>
    </row>
    <row r="203" ht="18" customHeight="1">
      <c r="AN203" s="279"/>
    </row>
    <row r="204" ht="18" customHeight="1">
      <c r="AN204" s="279"/>
    </row>
    <row r="205" ht="18" customHeight="1">
      <c r="AN205" s="279"/>
    </row>
    <row r="206" ht="18" customHeight="1">
      <c r="AN206" s="279"/>
    </row>
    <row r="207" ht="18" customHeight="1">
      <c r="AN207" s="279"/>
    </row>
    <row r="208" ht="18" customHeight="1">
      <c r="AN208" s="279"/>
    </row>
    <row r="209" ht="18" customHeight="1">
      <c r="AN209" s="279"/>
    </row>
    <row r="210" ht="18" customHeight="1">
      <c r="AN210" s="279"/>
    </row>
    <row r="211" ht="18" customHeight="1">
      <c r="AN211" s="279"/>
    </row>
    <row r="212" ht="18" customHeight="1">
      <c r="AN212" s="279"/>
    </row>
    <row r="213" ht="18" customHeight="1">
      <c r="AN213" s="279"/>
    </row>
    <row r="214" ht="18" customHeight="1">
      <c r="AN214" s="279"/>
    </row>
    <row r="215" ht="18" customHeight="1">
      <c r="AN215" s="279"/>
    </row>
    <row r="216" ht="18" customHeight="1">
      <c r="AN216" s="279"/>
    </row>
    <row r="217" ht="18" customHeight="1">
      <c r="AN217" s="279"/>
    </row>
    <row r="218" ht="18" customHeight="1">
      <c r="AN218" s="279"/>
    </row>
    <row r="219" ht="18" customHeight="1">
      <c r="AN219" s="279"/>
    </row>
    <row r="220" ht="18" customHeight="1">
      <c r="AN220" s="279"/>
    </row>
    <row r="221" ht="18" customHeight="1">
      <c r="AN221" s="279"/>
    </row>
    <row r="222" ht="18" customHeight="1">
      <c r="AN222" s="279"/>
    </row>
    <row r="223" ht="18" customHeight="1">
      <c r="AN223" s="279"/>
    </row>
    <row r="224" ht="18" customHeight="1">
      <c r="AN224" s="279"/>
    </row>
    <row r="225" ht="18" customHeight="1">
      <c r="AN225" s="279"/>
    </row>
    <row r="226" ht="18" customHeight="1">
      <c r="AN226" s="279"/>
    </row>
  </sheetData>
  <sheetProtection/>
  <mergeCells count="26">
    <mergeCell ref="AN34:AN38"/>
    <mergeCell ref="AN39:AN42"/>
    <mergeCell ref="AN51:AN52"/>
    <mergeCell ref="AN53:AN56"/>
    <mergeCell ref="AN57:AN61"/>
    <mergeCell ref="AN3:AN6"/>
    <mergeCell ref="AN7:AN9"/>
    <mergeCell ref="AN10:AN12"/>
    <mergeCell ref="AN13:AN16"/>
    <mergeCell ref="AN25:AN29"/>
    <mergeCell ref="AN62:AN65"/>
    <mergeCell ref="AN66:AN68"/>
    <mergeCell ref="AN69:AN73"/>
    <mergeCell ref="AN74:AN79"/>
    <mergeCell ref="AN80:AN83"/>
    <mergeCell ref="AN84:AN85"/>
    <mergeCell ref="AN113:AN117"/>
    <mergeCell ref="AN30:AN33"/>
    <mergeCell ref="AN43:AN50"/>
    <mergeCell ref="AN17:AN24"/>
    <mergeCell ref="AN86:AN91"/>
    <mergeCell ref="AN92:AN96"/>
    <mergeCell ref="AN97:AN100"/>
    <mergeCell ref="AN101:AN105"/>
    <mergeCell ref="AN106:AN110"/>
    <mergeCell ref="AN111:AN112"/>
  </mergeCells>
  <printOptions/>
  <pageMargins left="0.7" right="0.7" top="0.75" bottom="0.75" header="0.3" footer="0.3"/>
  <pageSetup orientation="portrait" paperSize="9"/>
  <ignoredErrors>
    <ignoredError sqref="F3:I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 LivingRulebook5.0</dc:title>
  <dc:subject>Team Roster LivingRulebook5.0</dc:subject>
  <dc:creator>Aristarco</dc:creator>
  <cp:keywords/>
  <dc:description/>
  <cp:lastModifiedBy>Simone Barsotti</cp:lastModifiedBy>
  <cp:lastPrinted>2017-05-03T00:19:53Z</cp:lastPrinted>
  <dcterms:created xsi:type="dcterms:W3CDTF">2001-02-12T07:17:33Z</dcterms:created>
  <dcterms:modified xsi:type="dcterms:W3CDTF">2018-11-22T16:32:27Z</dcterms:modified>
  <cp:category/>
  <cp:version/>
  <cp:contentType/>
  <cp:contentStatus/>
</cp:coreProperties>
</file>